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4"/>
  </bookViews>
  <sheets>
    <sheet name="Баланс ВС" sheetId="1" r:id="rId1"/>
    <sheet name="РеализХВС" sheetId="2" r:id="rId2"/>
    <sheet name="ОбъемХВСпоЧД " sheetId="3" r:id="rId3"/>
    <sheet name="Расчет тарифа" sheetId="4" r:id="rId4"/>
    <sheet name="Смета расх." sheetId="5" r:id="rId5"/>
    <sheet name="Сырье и мат-лы (расшифр.)" sheetId="6" r:id="rId6"/>
    <sheet name="Реагенты" sheetId="7" r:id="rId7"/>
    <sheet name="Ремонт" sheetId="8" r:id="rId8"/>
    <sheet name="Материалы тек. рем." sheetId="9" r:id="rId9"/>
    <sheet name="ФОТ ИТОГО" sheetId="10" r:id="rId10"/>
    <sheet name="ФОТ ВС" sheetId="11" r:id="rId11"/>
    <sheet name="Общехоз. и Админ. расх." sheetId="12" r:id="rId12"/>
    <sheet name="Штат " sheetId="13" r:id="rId13"/>
    <sheet name="База  распред адм и общехоз  " sheetId="14" r:id="rId14"/>
    <sheet name="Водный налог" sheetId="15" r:id="rId15"/>
    <sheet name="ЭЭ" sheetId="16" r:id="rId16"/>
    <sheet name="Расчет потребн. ЭЭ" sheetId="17" r:id="rId17"/>
    <sheet name=" ЭЭфакт" sheetId="18" r:id="rId18"/>
    <sheet name="План меропр. " sheetId="19" r:id="rId19"/>
    <sheet name="Титульный" sheetId="20" r:id="rId20"/>
    <sheet name="КратСвед" sheetId="21" r:id="rId21"/>
    <sheet name="Лист1" sheetId="22" r:id="rId22"/>
  </sheets>
  <externalReferences>
    <externalReference r:id="rId25"/>
    <externalReference r:id="rId26"/>
  </externalReferences>
  <definedNames>
    <definedName name="_xlnm.Print_Area" localSheetId="17">' ЭЭфакт'!$A$1:$AP$21</definedName>
    <definedName name="_xlnm.Print_Titles" localSheetId="17">(' ЭЭфакт'!$A:$C,' ЭЭфакт'!$1:$5)</definedName>
    <definedName name="_xlnm.Print_Area" localSheetId="13">'База  распред адм и общехоз  '!$A$1:$E$1</definedName>
    <definedName name="_xlnm.Print_Area" localSheetId="0">'Баланс ВС'!$A$1:$K$45</definedName>
    <definedName name="_xlnm.Print_Area" localSheetId="14">'Водный налог'!$A$1:$C$21</definedName>
    <definedName name="_xlnm.Print_Titles" localSheetId="14">'Водный налог'!$4:$5</definedName>
    <definedName name="_xlnm.Print_Area" localSheetId="20">'КратСвед'!$A$1:$E$27</definedName>
    <definedName name="_xlnm.Print_Area" localSheetId="8">'Материалы тек. рем.'!$A$1:$F$22</definedName>
    <definedName name="_xlnm.Print_Area" localSheetId="11">'Общехоз. и Админ. расх.'!$A$1:$C$81</definedName>
    <definedName name="_xlnm.Print_Area" localSheetId="2">'ОбъемХВСпоЧД '!$A$1:$R$33</definedName>
    <definedName name="_xlnm.Print_Titles" localSheetId="2">'ОбъемХВСпоЧД '!$A:$C</definedName>
    <definedName name="_xlnm.Print_Area" localSheetId="16">'Расчет потребн. ЭЭ'!$A$1:$K$16</definedName>
    <definedName name="_xlnm.Print_Area" localSheetId="3">'Расчет тарифа'!$A$1:$G$32</definedName>
    <definedName name="_xlnm.Print_Area" localSheetId="6">'Реагенты'!$A$1:$D$14</definedName>
    <definedName name="_xlnm.Print_Area" localSheetId="1">'РеализХВС'!$A$1:$I$32</definedName>
    <definedName name="_xlnm.Print_Area" localSheetId="7">'Ремонт'!$A$1:$D$22</definedName>
    <definedName name="_xlnm.Print_Area" localSheetId="4">'Смета расх.'!$A$1:$G$82</definedName>
    <definedName name="_xlnm.Print_Titles" localSheetId="4">'Смета расх.'!$4:$5</definedName>
    <definedName name="_xlnm.Print_Area" localSheetId="5">'Сырье и мат-лы (расшифр.)'!$A$1:$D$29</definedName>
    <definedName name="_xlnm.Print_Area" localSheetId="19">'Титульный'!$A$1:$A$22</definedName>
    <definedName name="_xlnm.Print_Area" localSheetId="10">'ФОТ ВС'!$A$1:$D$125</definedName>
    <definedName name="_xlnm.Print_Area" localSheetId="9">'ФОТ ИТОГО'!$A$1:$D$23</definedName>
    <definedName name="_xlnm.Print_Area" localSheetId="12">'Штат '!$A$1:$O$87</definedName>
    <definedName name="_xlnm.Print_Area" localSheetId="15">'ЭЭ'!$A$1:$D$23</definedName>
    <definedName name="god">'[1]Список МО'!$C$6</definedName>
    <definedName name="mo_1">'[1]Список МО'!$F$13</definedName>
    <definedName name="mr_1">'[1]Список МО'!$E$13</definedName>
    <definedName name="oktmo_1">'[1]Список МО'!$G$13</definedName>
  </definedNames>
  <calcPr fullCalcOnLoad="1"/>
</workbook>
</file>

<file path=xl/sharedStrings.xml><?xml version="1.0" encoding="utf-8"?>
<sst xmlns="http://schemas.openxmlformats.org/spreadsheetml/2006/main" count="1514" uniqueCount="651">
  <si>
    <r>
      <t xml:space="preserve">Баланс водоснабжения  </t>
    </r>
    <r>
      <rPr>
        <u val="single"/>
        <sz val="12"/>
        <rFont val="Times New Roman"/>
        <family val="1"/>
      </rPr>
      <t xml:space="preserve"> </t>
    </r>
  </si>
  <si>
    <t xml:space="preserve">Ресурсоснабжающяая организация (РСО) -ИП Рябичко Д.С. </t>
  </si>
  <si>
    <t>№ п/п</t>
  </si>
  <si>
    <t>Единица
измерения</t>
  </si>
  <si>
    <t>предложения УГРЦТ РА</t>
  </si>
  <si>
    <t>план</t>
  </si>
  <si>
    <t>факт</t>
  </si>
  <si>
    <t>ожид</t>
  </si>
  <si>
    <t>предложения РСО</t>
  </si>
  <si>
    <t>МП "Келермесское"</t>
  </si>
  <si>
    <t>Водоподготовка</t>
  </si>
  <si>
    <t>1.1</t>
  </si>
  <si>
    <t>Объем воды из источников водоснабжения:</t>
  </si>
  <si>
    <t>тыс. куб. м</t>
  </si>
  <si>
    <t>1.1.1</t>
  </si>
  <si>
    <t>из поверхностных источников</t>
  </si>
  <si>
    <t>1.1.2</t>
  </si>
  <si>
    <t>из подземных источников</t>
  </si>
  <si>
    <t>1.1.3</t>
  </si>
  <si>
    <t>доочищенная сточная вода для нужд технического водоснабжения</t>
  </si>
  <si>
    <t>1.2</t>
  </si>
  <si>
    <t>Объем воды, прошедшей водоподготовку</t>
  </si>
  <si>
    <t>1.3</t>
  </si>
  <si>
    <t>Потребление на собственные нужды</t>
  </si>
  <si>
    <t>1.4</t>
  </si>
  <si>
    <t>Объем питьевой воды, поданной в сеть</t>
  </si>
  <si>
    <t>Транспортировка питьевой воды</t>
  </si>
  <si>
    <t>2.1</t>
  </si>
  <si>
    <t>Объем воды, поступившей в сеть:</t>
  </si>
  <si>
    <t>2.1.1</t>
  </si>
  <si>
    <t>из собственных источников</t>
  </si>
  <si>
    <t>2.1.2</t>
  </si>
  <si>
    <t>от других операторов</t>
  </si>
  <si>
    <t>2.1.3</t>
  </si>
  <si>
    <t>получено от других территорий, дифференцированных по тарифу</t>
  </si>
  <si>
    <t>2.2</t>
  </si>
  <si>
    <t>Потери воды</t>
  </si>
  <si>
    <t>2.3</t>
  </si>
  <si>
    <t>2.4</t>
  </si>
  <si>
    <t>Объем воды, отпущенной из сети</t>
  </si>
  <si>
    <t>2.5</t>
  </si>
  <si>
    <t>3</t>
  </si>
  <si>
    <t>Отпуск питьевой воды</t>
  </si>
  <si>
    <t>3.1</t>
  </si>
  <si>
    <t>Объем воды, отпущенной абонентам:</t>
  </si>
  <si>
    <t>3.1.1</t>
  </si>
  <si>
    <t>по приборам учета</t>
  </si>
  <si>
    <t>3.1.2</t>
  </si>
  <si>
    <t>по нормативам</t>
  </si>
  <si>
    <t>3.2</t>
  </si>
  <si>
    <t>По абонентам</t>
  </si>
  <si>
    <t>3.2.1</t>
  </si>
  <si>
    <t>другим организациям, осуществляющим водоснабжение</t>
  </si>
  <si>
    <t>3.2.2</t>
  </si>
  <si>
    <t>собственным абонентам</t>
  </si>
  <si>
    <t>3.2.2.1</t>
  </si>
  <si>
    <t xml:space="preserve">     население</t>
  </si>
  <si>
    <t>3.2.2.2</t>
  </si>
  <si>
    <t xml:space="preserve">     финансируемые из бюджетов всех уровней </t>
  </si>
  <si>
    <t>3.2.2.3</t>
  </si>
  <si>
    <t xml:space="preserve">     прочие потребители</t>
  </si>
  <si>
    <t>на технологические нужды для собственных котельных</t>
  </si>
  <si>
    <t>4</t>
  </si>
  <si>
    <t>Отпуск технической воды</t>
  </si>
  <si>
    <t>5</t>
  </si>
  <si>
    <t>Отпуск горячей воды</t>
  </si>
  <si>
    <t>6</t>
  </si>
  <si>
    <t>Объем воды, отпускаемой новым абонентам</t>
  </si>
  <si>
    <t>6.1</t>
  </si>
  <si>
    <t>Увеличение отпуска питьевой воды в связи с подключением абонентов</t>
  </si>
  <si>
    <t>6.2</t>
  </si>
  <si>
    <t>Снижение отпуска питьевой воды в связи с прекращением водоснабжения</t>
  </si>
  <si>
    <t>7</t>
  </si>
  <si>
    <t>Изменение объема отпуска питьевой воды в связи с изменением нормативов потребления и установкой приборов учета</t>
  </si>
  <si>
    <t>8</t>
  </si>
  <si>
    <t>Темп изменения потребления воды</t>
  </si>
  <si>
    <t>%</t>
  </si>
  <si>
    <t xml:space="preserve">Данные об объемах реализации питьевой воды  по  абонентам в разрезе групп потребителей  </t>
  </si>
  <si>
    <t xml:space="preserve">Ресурсоснабжающяая организация (РСО) - </t>
  </si>
  <si>
    <t xml:space="preserve"> </t>
  </si>
  <si>
    <t>Наименование потребителей</t>
  </si>
  <si>
    <t>ИП Рябичко Д.С.</t>
  </si>
  <si>
    <t>Бюджетные потребители, финансируемые из:</t>
  </si>
  <si>
    <t xml:space="preserve"> муниципального бюджета</t>
  </si>
  <si>
    <t>МБДОУ  "Аленка"</t>
  </si>
  <si>
    <t>СОШ №8</t>
  </si>
  <si>
    <t>ФГКУ  "1 ОФПС по РА"</t>
  </si>
  <si>
    <t>Итого по бюджетным потребителям</t>
  </si>
  <si>
    <t>2</t>
  </si>
  <si>
    <t>Прочие потребители</t>
  </si>
  <si>
    <t>Котельные</t>
  </si>
  <si>
    <t>Итого по прочим потребителям</t>
  </si>
  <si>
    <t>Население</t>
  </si>
  <si>
    <t>Население частный сектор</t>
  </si>
  <si>
    <t>Итого по населению</t>
  </si>
  <si>
    <t>Всего</t>
  </si>
  <si>
    <t xml:space="preserve">Информация об объемах потребления питьевой воды в жилых домах </t>
  </si>
  <si>
    <t>Частные дома (ЧД)</t>
  </si>
  <si>
    <t>МО "Келермесское сельское поселение"</t>
  </si>
  <si>
    <t>Холодное водоснабжение</t>
  </si>
  <si>
    <t>Ресурсоснабжающая организация (РСО) - МП "Келермесское"</t>
  </si>
  <si>
    <t>Жилые помещения (ЖП)</t>
  </si>
  <si>
    <t>Вид благоустройства</t>
  </si>
  <si>
    <t>наличие/  отсутствие инди-видуальных приборов учета             (ИПУ)</t>
  </si>
  <si>
    <t xml:space="preserve">норматив в жилых поме-щениях                                    (м³ на чел. в месяц) </t>
  </si>
  <si>
    <t>2015 год  (план)</t>
  </si>
  <si>
    <t>2015 год (факт )</t>
  </si>
  <si>
    <t>2016  (план)</t>
  </si>
  <si>
    <t>2017 (план)</t>
  </si>
  <si>
    <t>2018 (предложения РСО )</t>
  </si>
  <si>
    <t>кол-во  ЧД</t>
  </si>
  <si>
    <t>Кол-во прожи-вающих,       чел.</t>
  </si>
  <si>
    <t>объем потребления    в год,                  куб. м</t>
  </si>
  <si>
    <t xml:space="preserve">Многоквартирные и жилые дома с централизованным холодным водоснабжением, водоотведением (без централизованного водоотведения), с газовыми водонагревателями, оборудованные унитазами, раковинами и (или) мойками, ваннами длиной 1500 мм и более с душем </t>
  </si>
  <si>
    <t>с ИПУ</t>
  </si>
  <si>
    <t>без ИПУ</t>
  </si>
  <si>
    <t>Многоквартирные и жилые дома с централизованным холодным водоснабжением, водоотведением (без централизованного водоотведения), без водонагревателей, оборудованные раковинами и (или) мойками</t>
  </si>
  <si>
    <t>Многоквартирные и жилые дома с водоразборной колонкой</t>
  </si>
  <si>
    <t>Итого в жилых помещениях</t>
  </si>
  <si>
    <t>х</t>
  </si>
  <si>
    <t>всего</t>
  </si>
  <si>
    <t>Использование земельного участка (ИЗУ)</t>
  </si>
  <si>
    <t>Вид использования земельного участка</t>
  </si>
  <si>
    <t>ед               измер.</t>
  </si>
  <si>
    <t>норматив  куб.м на                                           ед. измерен.</t>
  </si>
  <si>
    <t>кол-во  ед. измер.</t>
  </si>
  <si>
    <t>объм              потребления в год,                                куб. м</t>
  </si>
  <si>
    <t>Полив земельного участка</t>
  </si>
  <si>
    <t>кв.м.</t>
  </si>
  <si>
    <t>Крупный рогатый скот, лошади</t>
  </si>
  <si>
    <t xml:space="preserve"> голов </t>
  </si>
  <si>
    <t>Свиньи</t>
  </si>
  <si>
    <t xml:space="preserve">Овцы, козы </t>
  </si>
  <si>
    <t>Кролики</t>
  </si>
  <si>
    <t>Нутрии</t>
  </si>
  <si>
    <t>Птица</t>
  </si>
  <si>
    <t>ИТОГО при ИЗУ</t>
  </si>
  <si>
    <t>Всего для частных домов</t>
  </si>
  <si>
    <t xml:space="preserve">Расчет тарифов на питьевую воду  </t>
  </si>
  <si>
    <t xml:space="preserve">Ресурсоснабжающяая организация (РСО) - ИП Рябичко Д.С. </t>
  </si>
  <si>
    <t>Наименование</t>
  </si>
  <si>
    <t>Единица
измерений</t>
  </si>
  <si>
    <t>2018 год</t>
  </si>
  <si>
    <t xml:space="preserve">отклонения           </t>
  </si>
  <si>
    <t>предложения УГРЦТ</t>
  </si>
  <si>
    <t>единиц измерения</t>
  </si>
  <si>
    <t>1</t>
  </si>
  <si>
    <t>Необходимая валовая выручка</t>
  </si>
  <si>
    <t>тыс. руб.</t>
  </si>
  <si>
    <t>Производственные расходы</t>
  </si>
  <si>
    <t>Ремонтные расходы</t>
  </si>
  <si>
    <t>Административные расходы</t>
  </si>
  <si>
    <t>Сбытовые расходы</t>
  </si>
  <si>
    <t>1.5</t>
  </si>
  <si>
    <t>Амортизация</t>
  </si>
  <si>
    <t>1.6</t>
  </si>
  <si>
    <t>Арендная и концессионная плата, лизинговые платежи</t>
  </si>
  <si>
    <t>1.7</t>
  </si>
  <si>
    <t>Налоги и сборы</t>
  </si>
  <si>
    <t>1.8</t>
  </si>
  <si>
    <t>Нормативная прибыль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</si>
  <si>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</si>
  <si>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</si>
  <si>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</si>
  <si>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</si>
  <si>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Итого НВВ</t>
  </si>
  <si>
    <t xml:space="preserve">Объем водоснабжения </t>
  </si>
  <si>
    <t>Тариф  среднегодовой (без НДС)</t>
  </si>
  <si>
    <t>руб./куб.м</t>
  </si>
  <si>
    <t>Тариф с 01.01 по 30.06</t>
  </si>
  <si>
    <t>Тариф с 01.07 по 31.12</t>
  </si>
  <si>
    <t>Индекс роста с 01.07</t>
  </si>
  <si>
    <t xml:space="preserve">Начальник отдела цен и тарифов на жилищно-коммунальные услуги </t>
  </si>
  <si>
    <t>Л. Е.Хромец</t>
  </si>
  <si>
    <t xml:space="preserve">Главный специалист-эксперт отдела цен и тарифов на жилищно-коммунальные услуги </t>
  </si>
  <si>
    <t>Е. А. Кузьмина</t>
  </si>
  <si>
    <t xml:space="preserve">Главный специалист-эксперт отдела цен и тарифов на жилищно-коммунальные услуги – ответственный за рассмотрение тарифного дела </t>
  </si>
  <si>
    <t>И.В. Боронко</t>
  </si>
  <si>
    <t>Смета расходов по водоснабжению</t>
  </si>
  <si>
    <t>Единица измерений</t>
  </si>
  <si>
    <t>Расходы на приобретение сырья и материалов и их хранение</t>
  </si>
  <si>
    <t>Реагенты</t>
  </si>
  <si>
    <t>Горюче-смазочные материалы</t>
  </si>
  <si>
    <t>Материалы и малоценные основные средства</t>
  </si>
  <si>
    <t>Расходы на энергетические ресурсы и холодную воду</t>
  </si>
  <si>
    <t>1.2.1</t>
  </si>
  <si>
    <t>электроэнергия</t>
  </si>
  <si>
    <t>1.2.2</t>
  </si>
  <si>
    <t>теплоэнергия</t>
  </si>
  <si>
    <t>1.2.3</t>
  </si>
  <si>
    <t>теплоноситель</t>
  </si>
  <si>
    <t>1.2.4</t>
  </si>
  <si>
    <t>топливо</t>
  </si>
  <si>
    <t>1.2.5</t>
  </si>
  <si>
    <t>холодная вода</t>
  </si>
  <si>
    <t>Расходы на оплату работ
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</si>
  <si>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</si>
  <si>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</si>
  <si>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</si>
  <si>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</si>
  <si>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персонала, в том числе налоги и сборы</t>
  </si>
  <si>
    <t>Расходы на уплату процентов по займам и кредитам</t>
  </si>
  <si>
    <t>Общехозяйственные расходы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</si>
  <si>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</si>
  <si>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</si>
  <si>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</si>
  <si>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</si>
  <si>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</si>
  <si>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</si>
  <si>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</si>
  <si>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</si>
  <si>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</si>
  <si>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t>Расходы на текущий
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</si>
  <si>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</si>
  <si>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</si>
  <si>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</si>
  <si>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</si>
  <si>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</si>
  <si>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</si>
  <si>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Расходы на оплату работ и услуг, выполняемых сторонними организациями</t>
  </si>
  <si>
    <t>услуги связи и интернет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</si>
  <si>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</si>
  <si>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</si>
  <si>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</si>
  <si>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</si>
  <si>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</si>
  <si>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</si>
  <si>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</si>
  <si>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</si>
  <si>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</si>
  <si>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</si>
  <si>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</si>
  <si>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</si>
  <si>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</si>
  <si>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персонала, в том числе налоги и сборы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</si>
  <si>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</si>
  <si>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</si>
  <si>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</si>
  <si>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</si>
  <si>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</si>
  <si>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</si>
  <si>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</si>
  <si>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
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</si>
  <si>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</si>
  <si>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</si>
  <si>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</si>
  <si>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</si>
  <si>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</si>
  <si>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</si>
  <si>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</si>
  <si>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</si>
  <si>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</si>
  <si>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5.1</t>
  </si>
  <si>
    <t>Амортизация основных средств и нематериальных активов, относимых к объектам централизованной
системы водоснабжения и водоотведения</t>
  </si>
  <si>
    <t>Расходы на арендную плату, лизинговые платежи, концессионную плату</t>
  </si>
  <si>
    <t>Аренда имущества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</si>
  <si>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</si>
  <si>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</si>
  <si>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</si>
  <si>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</si>
  <si>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</si>
  <si>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Расходы, связанные с уплатой налогов и сборов</t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</si>
  <si>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</si>
  <si>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</si>
  <si>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</si>
  <si>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</si>
  <si>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</si>
  <si>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</si>
  <si>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</si>
  <si>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</si>
  <si>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</si>
  <si>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</si>
  <si>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</si>
  <si>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</si>
  <si>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</si>
  <si>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</si>
  <si>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8.1</t>
  </si>
  <si>
    <t>Средства на возврат займов и кредитов и процентов по ним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</si>
  <si>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</si>
  <si>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</si>
  <si>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</si>
  <si>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</si>
  <si>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8.4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</si>
  <si>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</si>
  <si>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8.5</t>
  </si>
  <si>
    <t>Величина нормативной прибыли, определенная в соответствии с пунктом 31 настоящих Методических указаний</t>
  </si>
  <si>
    <t>Главный специалист-эксперт отдела цен и тарифов на жилищно-коммунальные услуги</t>
  </si>
  <si>
    <t xml:space="preserve">Расходы на сырье и материалы  </t>
  </si>
  <si>
    <t>№
п/п</t>
  </si>
  <si>
    <t>Вид реагентов</t>
  </si>
  <si>
    <t>Расход (ед. изм.)</t>
  </si>
  <si>
    <t>кг</t>
  </si>
  <si>
    <t>Цена за единицу</t>
  </si>
  <si>
    <t>руб.</t>
  </si>
  <si>
    <t>Суммарные затраты</t>
  </si>
  <si>
    <t>Расходы на горюче-смазочные материалы, превышающие 5 процентов общей величины расходов на сырье и материалы</t>
  </si>
  <si>
    <t>Вид ГСМ  дизтопливо</t>
  </si>
  <si>
    <t>л</t>
  </si>
  <si>
    <t>Вид ГСМ  бензин АИ-92</t>
  </si>
  <si>
    <t>Расходы на материалы и малоценные основные средства, превышающие 5 процентов общей величины расходов на сырье и материалы</t>
  </si>
  <si>
    <t>Вид материалов и малоценных основных средств 1</t>
  </si>
  <si>
    <t>Итого:</t>
  </si>
  <si>
    <t>Определение потребности в реагентах</t>
  </si>
  <si>
    <t>Единица измере-ний</t>
  </si>
  <si>
    <t>Обеззараживание воды</t>
  </si>
  <si>
    <t>подача воды  в год</t>
  </si>
  <si>
    <t>т.м³</t>
  </si>
  <si>
    <t>доза активного хлора</t>
  </si>
  <si>
    <t>г/м³</t>
  </si>
  <si>
    <t>содержание активного хлора в хлорной извести</t>
  </si>
  <si>
    <t>потребность в хлорной извести</t>
  </si>
  <si>
    <t xml:space="preserve">2018
год </t>
  </si>
  <si>
    <t>ВОДОСНАБЖЕНИЕ</t>
  </si>
  <si>
    <t>ВСЕГО</t>
  </si>
  <si>
    <t>расходы на оплату труда и отчисления на социальные нужды ремонтного персонала</t>
  </si>
  <si>
    <t>оплата труда</t>
  </si>
  <si>
    <t>отчисления</t>
  </si>
  <si>
    <t>Текущий ремонт:</t>
  </si>
  <si>
    <t>материалы</t>
  </si>
  <si>
    <t>услуги сторонних организаций</t>
  </si>
  <si>
    <t>Капитальный ремонт:</t>
  </si>
  <si>
    <t>Расход материалов на проведение ремонтных работ</t>
  </si>
  <si>
    <t>холодное водоснабжение</t>
  </si>
  <si>
    <t>Ед.изм.</t>
  </si>
  <si>
    <t>Кол-во</t>
  </si>
  <si>
    <t>Цена за ед., руб.</t>
  </si>
  <si>
    <t>Сумма, тыс.руб.</t>
  </si>
  <si>
    <t>2018 год (расчет)</t>
  </si>
  <si>
    <t>Текущий ремонт</t>
  </si>
  <si>
    <t>Вентиль д15</t>
  </si>
  <si>
    <t>шт</t>
  </si>
  <si>
    <t xml:space="preserve">Задвижка д100 </t>
  </si>
  <si>
    <t>Резина прокладочная 1 кв. м</t>
  </si>
  <si>
    <t>Труба д100</t>
  </si>
  <si>
    <t>м</t>
  </si>
  <si>
    <t>Фланец д100</t>
  </si>
  <si>
    <t>Хомуты  металлические 100 мм</t>
  </si>
  <si>
    <t>Хомуты  металлические 60 мм</t>
  </si>
  <si>
    <t>Хомуты  ПВХ 90 мм</t>
  </si>
  <si>
    <t>Хомуты  ПВХ 50 мм</t>
  </si>
  <si>
    <t>…</t>
  </si>
  <si>
    <t>указать наименование материала</t>
  </si>
  <si>
    <t>Итого материалы на текущий ремонт</t>
  </si>
  <si>
    <t>Расходы на оплату труда в разрезе регулируемых видов деятельности</t>
  </si>
  <si>
    <t>Единица измерения</t>
  </si>
  <si>
    <t>Производственный персонал</t>
  </si>
  <si>
    <t>ФОТ</t>
  </si>
  <si>
    <t>Отчисления от ФОТ</t>
  </si>
  <si>
    <t>Ремонтный персонал</t>
  </si>
  <si>
    <t>Административный персонал</t>
  </si>
  <si>
    <t>Прочий общехозяйственный персонал</t>
  </si>
  <si>
    <t>4.2</t>
  </si>
  <si>
    <t xml:space="preserve">Расходы на оплату труда в целом по водоснабжению 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</si>
  <si>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</si>
  <si>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</si>
  <si>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</si>
  <si>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</si>
  <si>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</si>
  <si>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</si>
  <si>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Средний тарифный коэффициент</t>
  </si>
  <si>
    <t>Среднемесячная тарифная ставка</t>
  </si>
  <si>
    <t>2.6</t>
  </si>
  <si>
    <t>Минимальный размер оплаты труда по отраслевому тарифному соглашению</t>
  </si>
  <si>
    <t>2.7</t>
  </si>
  <si>
    <t>Выплаты, связанные с режимом работы и условиями труда на 1 работника в месяц</t>
  </si>
  <si>
    <t>2.7.1</t>
  </si>
  <si>
    <t>Процент</t>
  </si>
  <si>
    <t>2.7.2</t>
  </si>
  <si>
    <t>Сумма выплат</t>
  </si>
  <si>
    <t>2.8</t>
  </si>
  <si>
    <t>Текущее премирование</t>
  </si>
  <si>
    <t>2.8.1</t>
  </si>
  <si>
    <t>процент</t>
  </si>
  <si>
    <t>2.8.2</t>
  </si>
  <si>
    <t>сумма выплат</t>
  </si>
  <si>
    <t>2.9</t>
  </si>
  <si>
    <t>Доп. премирование, включая вознаграждение за выслугу лет</t>
  </si>
  <si>
    <t>2.9.1</t>
  </si>
  <si>
    <t>2.9.2</t>
  </si>
  <si>
    <t>2.9.3</t>
  </si>
  <si>
    <t>прочее</t>
  </si>
  <si>
    <t>2.9.4</t>
  </si>
  <si>
    <t>северные надбавки</t>
  </si>
  <si>
    <t>2.10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</si>
  <si>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</si>
  <si>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</si>
  <si>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</si>
  <si>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 (прибыль)</t>
  </si>
  <si>
    <t>Льготный проезд к месту отдыха</t>
  </si>
  <si>
    <t>По постановлению Правительства Российской Федерации от 03.11.1994
№ 1206 *</t>
  </si>
  <si>
    <t>Компенсационные и социальные выплаты</t>
  </si>
  <si>
    <t>ИТОГО средств на оплату труда</t>
  </si>
  <si>
    <t>Страховые взносы</t>
  </si>
  <si>
    <t>ИТОГО средств на оплату труда ремонтного персонала</t>
  </si>
  <si>
    <t xml:space="preserve">Численность (среднесписочная), принятая для расчета </t>
  </si>
  <si>
    <t>Минимальный размер оплаты труда по ОТС</t>
  </si>
  <si>
    <t>ИТОГО средств на оплату труда административного персонала</t>
  </si>
  <si>
    <t>ИТОГО средств на оплату труда прочего общехозяйственного персонала</t>
  </si>
  <si>
    <r>
      <t>_____</t>
    </r>
    <r>
      <rPr>
        <sz val="10"/>
        <rFont val="Times New Roman"/>
        <family val="1"/>
      </rPr>
      <t>Примечание: Заполняется на основании данных, определенных в соответствии с пунктом 16 Методических указаний.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</si>
  <si>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Постановление Правительства Российской Федерации от 3 ноября 1994 г. № 1206 (Собрание законодательства Российской Федерации, 1994, № 29, ст. 3035; 2003, № 33, ст. 3269; 2006, № 33, ст. 3633; 2012, № 22, ст. 2867; 2013, № 13, ст. 1559; 2013, № 22, ст. 2809) (далее - Постановление Правительства Российской Федерации от 03.11.1994 № 1206).</t>
    </r>
  </si>
  <si>
    <t xml:space="preserve">Общехозяйственные и Административные расходы </t>
  </si>
  <si>
    <t xml:space="preserve">в целом по организации </t>
  </si>
  <si>
    <t>Наименование показателей, статей затрат</t>
  </si>
  <si>
    <t xml:space="preserve">1. </t>
  </si>
  <si>
    <t>Общехозяйственные расходы, в том числе:</t>
  </si>
  <si>
    <t>1.1.</t>
  </si>
  <si>
    <t>расходы на оплату труда и отчисления на социальные нужды прочего общехозяйственного персонала, в том числе:</t>
  </si>
  <si>
    <t>1.1.1.</t>
  </si>
  <si>
    <t>Численность</t>
  </si>
  <si>
    <t>фонд оплаты труда</t>
  </si>
  <si>
    <t>налоги и сборы с фонда оплаты труда</t>
  </si>
  <si>
    <t>1.2.</t>
  </si>
  <si>
    <t>прочие расходы:</t>
  </si>
  <si>
    <t>1.3.</t>
  </si>
  <si>
    <t>Канцелярские расходы</t>
  </si>
  <si>
    <t>1.4.</t>
  </si>
  <si>
    <t>Содержание оргтехники</t>
  </si>
  <si>
    <t>2.</t>
  </si>
  <si>
    <t>Административные расходы, в том числе:</t>
  </si>
  <si>
    <t>2.1.</t>
  </si>
  <si>
    <t>Расходы на оплату работ и (или) услуг, выполняемых по договорам сторонними организациями или индивидуальными предпринимателями: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</si>
  <si>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</si>
  <si>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</si>
  <si>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</si>
  <si>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</si>
  <si>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</si>
  <si>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</si>
  <si>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</si>
  <si>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</si>
  <si>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2.2.1.</t>
  </si>
  <si>
    <t>2.2.2.</t>
  </si>
  <si>
    <t>2.3.</t>
  </si>
  <si>
    <t>арендная плата</t>
  </si>
  <si>
    <t>2.4.</t>
  </si>
  <si>
    <t>лизинговые платежи</t>
  </si>
  <si>
    <t>2.5.</t>
  </si>
  <si>
    <t>служебные командировки</t>
  </si>
  <si>
    <t>2.6.</t>
  </si>
  <si>
    <t>обучение персонала</t>
  </si>
  <si>
    <t>2.7.</t>
  </si>
  <si>
    <t>расходы на страхование производственных объектов, учитываемые при определении базы по налогу на прибыль</t>
  </si>
  <si>
    <t>2.8.</t>
  </si>
  <si>
    <t>2.8.1.</t>
  </si>
  <si>
    <t>амортизация непроизводственных активов</t>
  </si>
  <si>
    <t>2.8.2.</t>
  </si>
  <si>
    <t>услуги сторонних организаций по обеспечению безопасности функционирования объектов централизованных систем водоснабжения и водоотведения</t>
  </si>
  <si>
    <t xml:space="preserve">3. </t>
  </si>
  <si>
    <t>ИТОГО общехозяйственные и административные расходы</t>
  </si>
  <si>
    <t xml:space="preserve"> по организации </t>
  </si>
  <si>
    <t>по ВОДОСНАБЖЕНИЮ</t>
  </si>
  <si>
    <t>Доля затрат, приходящаяся на услуги водоснабжения</t>
  </si>
  <si>
    <t>…..</t>
  </si>
  <si>
    <t>Унифицированная форма № Т-3</t>
  </si>
  <si>
    <t>Утверждена Постановлением</t>
  </si>
  <si>
    <t>Госкомстата России</t>
  </si>
  <si>
    <t xml:space="preserve"> от 06.04.01 № 26</t>
  </si>
  <si>
    <t>Код</t>
  </si>
  <si>
    <t>Форма по ОКУД</t>
  </si>
  <si>
    <t>по ОКПО</t>
  </si>
  <si>
    <t>УТВЕРЖДЕНО</t>
  </si>
  <si>
    <t>Приказ от "___"____________ №____</t>
  </si>
  <si>
    <t>ШТАТНОЕ РАСПИСАНИЕ</t>
  </si>
  <si>
    <t>Номер документа</t>
  </si>
  <si>
    <t>Дата</t>
  </si>
  <si>
    <t>Штат в количестве</t>
  </si>
  <si>
    <t>единиц</t>
  </si>
  <si>
    <t>с годовым фондом заработной платы</t>
  </si>
  <si>
    <t>рублей</t>
  </si>
  <si>
    <t>Код должности</t>
  </si>
  <si>
    <t>Кол-во единиц</t>
  </si>
  <si>
    <t>Разряд</t>
  </si>
  <si>
    <t>Тарифный к-т</t>
  </si>
  <si>
    <t>Ставка</t>
  </si>
  <si>
    <t>Месячный</t>
  </si>
  <si>
    <t>Доплаты</t>
  </si>
  <si>
    <t>Премия</t>
  </si>
  <si>
    <t>ВСЕГО ФЗП за месяц</t>
  </si>
  <si>
    <t>ВСЕГО ФЗП за год</t>
  </si>
  <si>
    <t>Профессия (должность)</t>
  </si>
  <si>
    <t>оклад</t>
  </si>
  <si>
    <t>разряда</t>
  </si>
  <si>
    <t>сумма</t>
  </si>
  <si>
    <t>Директор</t>
  </si>
  <si>
    <t>Главный бухгалтер</t>
  </si>
  <si>
    <t>ИТОГО</t>
  </si>
  <si>
    <t>Другие виды деятельности</t>
  </si>
  <si>
    <t>Водоснабжение</t>
  </si>
  <si>
    <t>Слесарь водопроводных сетей</t>
  </si>
  <si>
    <t>Контролер</t>
  </si>
  <si>
    <t xml:space="preserve">ИТОГО </t>
  </si>
  <si>
    <t>ОПП</t>
  </si>
  <si>
    <t>РП</t>
  </si>
  <si>
    <t>ВСЕГО по предприятию</t>
  </si>
  <si>
    <t>База для распределения административных  и общехозяйственных расходов по видам деятельностис огласно приказу об утверждении учетной политики предприятия</t>
  </si>
  <si>
    <t xml:space="preserve">2018 год </t>
  </si>
  <si>
    <t>удельный вес</t>
  </si>
  <si>
    <t xml:space="preserve">Вид деятельности </t>
  </si>
  <si>
    <t>База для</t>
  </si>
  <si>
    <t>тыс.</t>
  </si>
  <si>
    <t xml:space="preserve">в разрезе </t>
  </si>
  <si>
    <t>распределения</t>
  </si>
  <si>
    <t xml:space="preserve"> видов </t>
  </si>
  <si>
    <t xml:space="preserve"> деятельности, </t>
  </si>
  <si>
    <t>Фонд оплаты труда основного производственного персонала</t>
  </si>
  <si>
    <t>1.5.</t>
  </si>
  <si>
    <t>Итого</t>
  </si>
  <si>
    <t>РАСЧЕТ водного налога</t>
  </si>
  <si>
    <t>Поднято воды</t>
  </si>
  <si>
    <t>тыс.куб.м.</t>
  </si>
  <si>
    <t xml:space="preserve">в т.ч. население </t>
  </si>
  <si>
    <t>уд.вес</t>
  </si>
  <si>
    <t xml:space="preserve">         пром. </t>
  </si>
  <si>
    <t>Ставки налога:</t>
  </si>
  <si>
    <t xml:space="preserve"> для населения</t>
  </si>
  <si>
    <t>для пром.</t>
  </si>
  <si>
    <t>Сумма платы</t>
  </si>
  <si>
    <t>тыс.руб.</t>
  </si>
  <si>
    <t xml:space="preserve">Расходы на приобретение электрической энергии  на водоснабжение  </t>
  </si>
  <si>
    <t>Поставщик Адыгейский филиал ОАО "Кубаньэнергосбыт"</t>
  </si>
  <si>
    <t>Объем покупной энергии
по одноставочному тарифу</t>
  </si>
  <si>
    <t>тыс. кВт-ч</t>
  </si>
  <si>
    <t>низкое напряжение</t>
  </si>
  <si>
    <t>среднее напряжение 2</t>
  </si>
  <si>
    <t>Тариф на электроэнергию (одноставочный, I ценовая категория)</t>
  </si>
  <si>
    <t>руб./кВт-ч</t>
  </si>
  <si>
    <t>Средний одноставочный тариф на электрическую энергию</t>
  </si>
  <si>
    <t xml:space="preserve">Затраты на покупку энергии </t>
  </si>
  <si>
    <t>Затраты на электроэнергию всего</t>
  </si>
  <si>
    <r>
      <t>Расчет объемов покупной электроэнергии на водоснабжение</t>
    </r>
    <r>
      <rPr>
        <sz val="13"/>
        <rFont val="Times New Roman"/>
        <family val="1"/>
      </rPr>
      <t xml:space="preserve"> </t>
    </r>
  </si>
  <si>
    <t>Расчет 2018г.</t>
  </si>
  <si>
    <t>Месторасположение водозабора</t>
  </si>
  <si>
    <t>Наименование установленного оборудования (по поселениям)</t>
  </si>
  <si>
    <t>Уровень напряже-ния</t>
  </si>
  <si>
    <t>№ артсква-жины</t>
  </si>
  <si>
    <t>Мощность обору-дования, кВт</t>
  </si>
  <si>
    <t>Производи-тельность, м3/час</t>
  </si>
  <si>
    <t>Продолжи-тельность работы, часов</t>
  </si>
  <si>
    <t xml:space="preserve">Расход электро-энергии, кВтч </t>
  </si>
  <si>
    <t>Коэффи-циент исполь-зования активной мощности</t>
  </si>
  <si>
    <t xml:space="preserve">Подъем воды, м3 </t>
  </si>
  <si>
    <t>Удельный расход электро-энергии на 1 м3</t>
  </si>
  <si>
    <t>Келермесское сельское поселение</t>
  </si>
  <si>
    <t>ст. Келермесская, ул. Дружбы, 1а</t>
  </si>
  <si>
    <t>ЭЦВ 6-10-110</t>
  </si>
  <si>
    <t>НН</t>
  </si>
  <si>
    <t>P-46</t>
  </si>
  <si>
    <t>п. Лесной</t>
  </si>
  <si>
    <t>ЭЦВ 6-6,3-125</t>
  </si>
  <si>
    <t>Р-79</t>
  </si>
  <si>
    <t>×</t>
  </si>
  <si>
    <t xml:space="preserve">Фактический расход и затраты на электроэнергию </t>
  </si>
  <si>
    <t>Месторасположение</t>
  </si>
  <si>
    <t xml:space="preserve">Уровень напряжения 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</si>
  <si>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</si>
  <si>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</si>
  <si>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</si>
  <si>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</si>
  <si>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</si>
  <si>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</si>
  <si>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</si>
  <si>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</si>
  <si>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</si>
  <si>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</si>
  <si>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</si>
  <si>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</si>
  <si>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 xml:space="preserve">всего </t>
  </si>
  <si>
    <t>объем потреб-ления</t>
  </si>
  <si>
    <t>тариф</t>
  </si>
  <si>
    <t>затраты на приобре-тение</t>
  </si>
  <si>
    <t>кВтч</t>
  </si>
  <si>
    <t>руб./кВтч</t>
  </si>
  <si>
    <t xml:space="preserve"> рублей</t>
  </si>
  <si>
    <t xml:space="preserve"> январь-декабрь 2015 года (факт)</t>
  </si>
  <si>
    <t>Келермесское сельское поселение, всего</t>
  </si>
  <si>
    <t>СН2</t>
  </si>
  <si>
    <t>Артскважина № Р-46</t>
  </si>
  <si>
    <t>Артскважина</t>
  </si>
  <si>
    <t xml:space="preserve"> 2016 год (ожидаемое)</t>
  </si>
  <si>
    <t>не представлены</t>
  </si>
  <si>
    <t xml:space="preserve"> План мероприятий по ремонту объектов централизованных систем водоснабжения, мероприятий, направленных на улучшение качества питьевой воды и  мероприятий по энергосбережению и повышению энергетической эффективности, в том числе по снижению потерь воды при транспортировке</t>
  </si>
  <si>
    <t>на  2018 год</t>
  </si>
  <si>
    <t>Наименование работ</t>
  </si>
  <si>
    <t>Период</t>
  </si>
  <si>
    <t>Способ выполнения</t>
  </si>
  <si>
    <t>Стоимость работ, всего (тыс.руб.)</t>
  </si>
  <si>
    <t>Источники финансирования</t>
  </si>
  <si>
    <t>Хозяйственный</t>
  </si>
  <si>
    <t xml:space="preserve">Подрядный </t>
  </si>
  <si>
    <t xml:space="preserve">Амортиза-ционные отчисления </t>
  </si>
  <si>
    <t>Ремонтный фонд (себестои-мость)</t>
  </si>
  <si>
    <t>Надбавка к тарифу</t>
  </si>
  <si>
    <t>ВСЕГО на год сумма (тыс.руб.)</t>
  </si>
  <si>
    <t>в  т.ч.   Мате-риалы</t>
  </si>
  <si>
    <t>обору-дование</t>
  </si>
  <si>
    <t>Наименование  организации</t>
  </si>
  <si>
    <t>ТЕКУЩИЕ  РЕМОНТЫ</t>
  </si>
  <si>
    <t>Ремонт объектов водоснабжения</t>
  </si>
  <si>
    <t>май-сентябрь</t>
  </si>
  <si>
    <t xml:space="preserve">Расчет финансовых потребностей организации, осуществляющей </t>
  </si>
  <si>
    <t>холодное водоснабжение и (или) водоотведение,</t>
  </si>
  <si>
    <t xml:space="preserve"> необходимых для реализации производственной программы    </t>
  </si>
  <si>
    <t xml:space="preserve">(наименование ресурсоснабжающей организации)       </t>
  </si>
  <si>
    <t xml:space="preserve">по холодному  водоснабжению </t>
  </si>
  <si>
    <t xml:space="preserve">(наименование оказываемой услуги)   </t>
  </si>
  <si>
    <t>(период регулирования)</t>
  </si>
  <si>
    <t xml:space="preserve">Краткие сведения об организации </t>
  </si>
  <si>
    <t>Наименование организации</t>
  </si>
  <si>
    <t>Индивидуальный предприниматель Рябичко Дмитрий Сергеевич</t>
  </si>
  <si>
    <t>Почтовый адрес</t>
  </si>
  <si>
    <t>385632, Республика Адыгея, Гиагинский район, ст.Келермесская, ул.Восточная,36</t>
  </si>
  <si>
    <t>Тел/факс</t>
  </si>
  <si>
    <t>928 668-71-28</t>
  </si>
  <si>
    <t>E-mail</t>
  </si>
  <si>
    <t>rds840507@mail.ru</t>
  </si>
  <si>
    <t>Должность руководителя</t>
  </si>
  <si>
    <t>Индивидуальный предприниматель</t>
  </si>
  <si>
    <t>Ф.И.О. (полностью)</t>
  </si>
  <si>
    <t>Рябичко Дмитрий Сергеевич</t>
  </si>
  <si>
    <t>Сведения об организации</t>
  </si>
  <si>
    <t xml:space="preserve"> ИНН/КПП</t>
  </si>
  <si>
    <t>ОКВЭД</t>
  </si>
  <si>
    <t>ОГРНИП</t>
  </si>
  <si>
    <t xml:space="preserve"> ОКАТО</t>
  </si>
  <si>
    <t>010103073783</t>
  </si>
  <si>
    <t>317010500025020</t>
  </si>
  <si>
    <t>ОКПО</t>
  </si>
  <si>
    <t>ОКОПФ</t>
  </si>
  <si>
    <t>ОКФС</t>
  </si>
  <si>
    <t>ОКОГУ</t>
  </si>
  <si>
    <t>Количество видов деятельности (всех), ед.</t>
  </si>
  <si>
    <t>Основной вид деятельности организации</t>
  </si>
  <si>
    <t>водоснабжение</t>
  </si>
  <si>
    <t>Применяемая система налогообложения</t>
  </si>
  <si>
    <t>упрощенная</t>
  </si>
  <si>
    <t>Вид налогообложения для организаций, применяющих упрощенную систему налогообложения (доходы/превышение доходов над расходами)</t>
  </si>
  <si>
    <t>доходы, уменьшенные на величину расходов</t>
  </si>
  <si>
    <t>Наименование обслуживаемых муниципальных образований  (населенных пунктов)</t>
  </si>
  <si>
    <t>Реквизиты документов (наименование, № и дата), подтверждающие право владения объектами коммунальной инфраструктуры</t>
  </si>
  <si>
    <t>Решение СНД МО "Келермесское сельское поселение" от 24 ноября 2017г. №13</t>
  </si>
  <si>
    <t>Срок владения объектами (с-по)</t>
  </si>
  <si>
    <t>Поверхностные источники водозабора</t>
  </si>
  <si>
    <t>Подземные источники водозабора (количество артезианских скважин), ед.</t>
  </si>
  <si>
    <t>Суммарная установленная производственная мощность водозабора, куб.м/час</t>
  </si>
  <si>
    <t>16</t>
  </si>
  <si>
    <t>Количество водонапорных башен, ед.</t>
  </si>
  <si>
    <t>Протяженность сетей водоснабжения, км.</t>
  </si>
  <si>
    <t>8,3</t>
  </si>
  <si>
    <t>Суммарная установленная производственная мощность транспортирования воды, куб.м/час</t>
  </si>
  <si>
    <t>Руководитель</t>
  </si>
  <si>
    <t xml:space="preserve">ИП </t>
  </si>
  <si>
    <t>Рябичко Д.С.</t>
  </si>
</sst>
</file>

<file path=xl/styles.xml><?xml version="1.0" encoding="utf-8"?>
<styleSheet xmlns="http://schemas.openxmlformats.org/spreadsheetml/2006/main">
  <numFmts count="43">
    <numFmt numFmtId="164" formatCode="GENERAL"/>
    <numFmt numFmtId="165" formatCode="0.0%"/>
    <numFmt numFmtId="166" formatCode="0.0%_);\(0.0%\)"/>
    <numFmt numFmtId="167" formatCode="#,##0_);[RED]\(#,##0\)"/>
    <numFmt numFmtId="168" formatCode="_-* #,##0_-;\-* #,##0_-;_-* \-_-;_-@_-"/>
    <numFmt numFmtId="169" formatCode="#,##0"/>
    <numFmt numFmtId="170" formatCode="_-* #,##0.00_-;\-* #,##0.00_-;_-* \-??_-;_-@_-"/>
    <numFmt numFmtId="171" formatCode="\$#,##0_);[RED]&quot;($&quot;#,##0\)"/>
    <numFmt numFmtId="172" formatCode="\$#,##0\ ;&quot;($&quot;#,##0\)"/>
    <numFmt numFmtId="173" formatCode="_-\Ј* #,##0.00_-;&quot;-Ј&quot;* #,##0.00_-;_-\Ј* \-??_-;_-@_-"/>
    <numFmt numFmtId="174" formatCode="DD/MM/YYYY"/>
    <numFmt numFmtId="175" formatCode="_-* #,##0.00[$€-1]_-;\-* #,##0.00[$€-1]_-;_-* \-??[$€-1]_-"/>
    <numFmt numFmtId="176" formatCode="0.0"/>
    <numFmt numFmtId="177" formatCode="0.00"/>
    <numFmt numFmtId="178" formatCode="#,##0_);[BLUE]\(#,##0\)"/>
    <numFmt numFmtId="179" formatCode="#,##0.00\ [$€-407];[RED]\-#,##0.00\ [$€-407]"/>
    <numFmt numFmtId="180" formatCode="#\."/>
    <numFmt numFmtId="181" formatCode="GENERAL_)"/>
    <numFmt numFmtId="182" formatCode="_-* #,##0&quot;đ.&quot;_-;\-* #,##0&quot;đ.&quot;_-;_-* &quot;-đ.&quot;_-;_-@_-"/>
    <numFmt numFmtId="183" formatCode="_-* #,##0.00&quot;đ.&quot;_-;\-* #,##0.00&quot;đ.&quot;_-;_-* \-??&quot;đ.&quot;_-;_-@_-"/>
    <numFmt numFmtId="184" formatCode="_-* #,##0_đ_._-;\-* #,##0_đ_._-;_-* \-_đ_._-;_-@_-"/>
    <numFmt numFmtId="185" formatCode="_-* #,##0.00_đ_._-;\-* #,##0.00_đ_._-;_-* \-??_đ_._-;_-@_-"/>
    <numFmt numFmtId="186" formatCode="%#\.00"/>
    <numFmt numFmtId="187" formatCode="_(&quot;р.&quot;* #,##0.00_);_(&quot;р.&quot;* \(#,##0.00\);_(&quot;р.&quot;* \-??_);_(@_)"/>
    <numFmt numFmtId="188" formatCode="#,##0.00"/>
    <numFmt numFmtId="189" formatCode="@"/>
    <numFmt numFmtId="190" formatCode="0%"/>
    <numFmt numFmtId="191" formatCode="_-* #,##0\ _р_._-;\-* #,##0\ _р_._-;_-* &quot;- &quot;_р_._-;_-@_-"/>
    <numFmt numFmtId="192" formatCode="_-* #,##0.00\ _р_._-;\-* #,##0.00\ _р_._-;_-* \-??\ _р_._-;_-@_-"/>
    <numFmt numFmtId="193" formatCode="_-* #,##0.00_р_._-;\-* #,##0.00_р_._-;_-* \-??_р_._-;_-@_-"/>
    <numFmt numFmtId="194" formatCode="_(* #,##0.00_);_(* \(#,##0.00\);_(* \-??_);_(@_)"/>
    <numFmt numFmtId="195" formatCode="#,##0.0"/>
    <numFmt numFmtId="196" formatCode="#,##0.000"/>
    <numFmt numFmtId="197" formatCode="#\.00"/>
    <numFmt numFmtId="198" formatCode="#.##0\.00"/>
    <numFmt numFmtId="199" formatCode="\$#\.00"/>
    <numFmt numFmtId="200" formatCode="0.000"/>
    <numFmt numFmtId="201" formatCode="GENERAL"/>
    <numFmt numFmtId="202" formatCode="0"/>
    <numFmt numFmtId="203" formatCode="0.00%"/>
    <numFmt numFmtId="204" formatCode="DD/MMM"/>
    <numFmt numFmtId="205" formatCode="0.00000"/>
    <numFmt numFmtId="206" formatCode="0.0000"/>
  </numFmts>
  <fonts count="104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55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2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b/>
      <u val="single"/>
      <sz val="14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90" fontId="0" fillId="0" borderId="0" applyFill="0" applyBorder="0" applyAlignment="0" applyProtection="0"/>
    <xf numFmtId="164" fontId="1" fillId="0" borderId="0">
      <alignment/>
      <protection/>
    </xf>
    <xf numFmtId="165" fontId="2" fillId="0" borderId="0">
      <alignment vertical="top"/>
      <protection/>
    </xf>
    <xf numFmtId="165" fontId="3" fillId="0" borderId="0">
      <alignment vertical="top"/>
      <protection/>
    </xf>
    <xf numFmtId="166" fontId="3" fillId="2" borderId="0">
      <alignment vertical="top"/>
      <protection/>
    </xf>
    <xf numFmtId="165" fontId="3" fillId="3" borderId="0">
      <alignment vertical="top"/>
      <protection/>
    </xf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4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8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11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9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13" borderId="0" applyNumberFormat="0" applyBorder="0" applyAlignment="0" applyProtection="0"/>
    <xf numFmtId="164" fontId="5" fillId="10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7" fontId="2" fillId="0" borderId="0">
      <alignment vertical="top"/>
      <protection/>
    </xf>
    <xf numFmtId="167" fontId="2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2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2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20" borderId="0" applyNumberFormat="0" applyBorder="0" applyAlignment="0" applyProtection="0"/>
    <xf numFmtId="164" fontId="6" fillId="5" borderId="0" applyNumberFormat="0" applyBorder="0" applyAlignment="0" applyProtection="0"/>
    <xf numFmtId="164" fontId="7" fillId="2" borderId="1" applyNumberFormat="0" applyAlignment="0" applyProtection="0"/>
    <xf numFmtId="164" fontId="8" fillId="21" borderId="2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174" fontId="9" fillId="0" borderId="0">
      <alignment vertical="top"/>
      <protection/>
    </xf>
    <xf numFmtId="167" fontId="10" fillId="0" borderId="0">
      <alignment vertical="top"/>
      <protection/>
    </xf>
    <xf numFmtId="175" fontId="0" fillId="0" borderId="0" applyFill="0" applyBorder="0" applyAlignment="0" applyProtection="0"/>
    <xf numFmtId="164" fontId="11" fillId="0" borderId="0" applyNumberFormat="0" applyFill="0" applyBorder="0" applyAlignment="0" applyProtection="0"/>
    <xf numFmtId="176" fontId="12" fillId="0" borderId="0" applyFill="0" applyBorder="0" applyAlignment="0" applyProtection="0"/>
    <xf numFmtId="176" fontId="2" fillId="0" borderId="0" applyFill="0" applyBorder="0" applyAlignment="0" applyProtection="0"/>
    <xf numFmtId="176" fontId="13" fillId="0" borderId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7" fontId="0" fillId="0" borderId="0" applyFill="0" applyBorder="0" applyAlignment="0" applyProtection="0"/>
    <xf numFmtId="164" fontId="18" fillId="3" borderId="0" applyNumberFormat="0" applyBorder="0" applyAlignment="0" applyProtection="0"/>
    <xf numFmtId="164" fontId="19" fillId="0" borderId="0">
      <alignment horizontal="center"/>
      <protection/>
    </xf>
    <xf numFmtId="164" fontId="20" fillId="0" borderId="3" applyNumberFormat="0" applyFill="0" applyAlignment="0" applyProtection="0"/>
    <xf numFmtId="164" fontId="21" fillId="0" borderId="4" applyNumberFormat="0" applyFill="0" applyAlignment="0" applyProtection="0"/>
    <xf numFmtId="164" fontId="22" fillId="0" borderId="5" applyNumberFormat="0" applyFill="0" applyAlignment="0" applyProtection="0"/>
    <xf numFmtId="164" fontId="22" fillId="0" borderId="0" applyNumberFormat="0" applyFill="0" applyBorder="0" applyAlignment="0" applyProtection="0"/>
    <xf numFmtId="164" fontId="19" fillId="0" borderId="0">
      <alignment horizontal="center" textRotation="90"/>
      <protection/>
    </xf>
    <xf numFmtId="167" fontId="23" fillId="0" borderId="0">
      <alignment vertical="top"/>
      <protection/>
    </xf>
    <xf numFmtId="164" fontId="24" fillId="8" borderId="1" applyNumberFormat="0" applyAlignment="0" applyProtection="0"/>
    <xf numFmtId="167" fontId="3" fillId="0" borderId="0">
      <alignment vertical="top"/>
      <protection/>
    </xf>
    <xf numFmtId="167" fontId="3" fillId="2" borderId="0">
      <alignment vertical="top"/>
      <protection/>
    </xf>
    <xf numFmtId="178" fontId="3" fillId="3" borderId="0">
      <alignment vertical="top"/>
      <protection/>
    </xf>
    <xf numFmtId="164" fontId="25" fillId="0" borderId="6" applyNumberFormat="0" applyFill="0" applyAlignment="0" applyProtection="0"/>
    <xf numFmtId="164" fontId="26" fillId="22" borderId="0" applyNumberFormat="0" applyBorder="0" applyAlignment="0" applyProtection="0"/>
    <xf numFmtId="164" fontId="27" fillId="0" borderId="0" applyNumberFormat="0" applyFill="0" applyBorder="0" applyAlignment="0" applyProtection="0"/>
    <xf numFmtId="164" fontId="0" fillId="0" borderId="0">
      <alignment/>
      <protection/>
    </xf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" fillId="0" borderId="0">
      <alignment/>
      <protection/>
    </xf>
    <xf numFmtId="164" fontId="27" fillId="0" borderId="0" applyNumberFormat="0" applyFill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28" fillId="2" borderId="8" applyNumberFormat="0" applyAlignment="0" applyProtection="0"/>
    <xf numFmtId="164" fontId="2" fillId="0" borderId="0" applyNumberFormat="0">
      <alignment horizontal="left"/>
      <protection/>
    </xf>
    <xf numFmtId="164" fontId="29" fillId="0" borderId="0">
      <alignment/>
      <protection/>
    </xf>
    <xf numFmtId="179" fontId="29" fillId="0" borderId="0">
      <alignment/>
      <protection/>
    </xf>
    <xf numFmtId="164" fontId="30" fillId="22" borderId="8" applyNumberFormat="0" applyProtection="0">
      <alignment vertical="center"/>
    </xf>
    <xf numFmtId="164" fontId="31" fillId="22" borderId="8" applyNumberFormat="0" applyProtection="0">
      <alignment vertical="center"/>
    </xf>
    <xf numFmtId="164" fontId="30" fillId="22" borderId="8" applyNumberFormat="0" applyProtection="0">
      <alignment horizontal="left" vertical="center" indent="1"/>
    </xf>
    <xf numFmtId="164" fontId="30" fillId="22" borderId="8" applyNumberFormat="0" applyProtection="0">
      <alignment horizontal="left" vertical="center" indent="1"/>
    </xf>
    <xf numFmtId="164" fontId="1" fillId="4" borderId="8" applyNumberFormat="0" applyProtection="0">
      <alignment horizontal="left" vertical="center" indent="1"/>
    </xf>
    <xf numFmtId="164" fontId="30" fillId="5" borderId="8" applyNumberFormat="0" applyProtection="0">
      <alignment horizontal="right" vertical="center"/>
    </xf>
    <xf numFmtId="164" fontId="30" fillId="10" borderId="8" applyNumberFormat="0" applyProtection="0">
      <alignment horizontal="right" vertical="center"/>
    </xf>
    <xf numFmtId="164" fontId="30" fillId="18" borderId="8" applyNumberFormat="0" applyProtection="0">
      <alignment horizontal="right" vertical="center"/>
    </xf>
    <xf numFmtId="164" fontId="30" fillId="12" borderId="8" applyNumberFormat="0" applyProtection="0">
      <alignment horizontal="right" vertical="center"/>
    </xf>
    <xf numFmtId="164" fontId="30" fillId="16" borderId="8" applyNumberFormat="0" applyProtection="0">
      <alignment horizontal="right" vertical="center"/>
    </xf>
    <xf numFmtId="164" fontId="30" fillId="20" borderId="8" applyNumberFormat="0" applyProtection="0">
      <alignment horizontal="right" vertical="center"/>
    </xf>
    <xf numFmtId="164" fontId="30" fillId="19" borderId="8" applyNumberFormat="0" applyProtection="0">
      <alignment horizontal="right" vertical="center"/>
    </xf>
    <xf numFmtId="164" fontId="30" fillId="24" borderId="8" applyNumberFormat="0" applyProtection="0">
      <alignment horizontal="right" vertical="center"/>
    </xf>
    <xf numFmtId="164" fontId="30" fillId="11" borderId="8" applyNumberFormat="0" applyProtection="0">
      <alignment horizontal="right" vertical="center"/>
    </xf>
    <xf numFmtId="164" fontId="32" fillId="25" borderId="8" applyNumberFormat="0" applyProtection="0">
      <alignment horizontal="left" vertical="center" indent="1"/>
    </xf>
    <xf numFmtId="164" fontId="30" fillId="26" borderId="9" applyNumberFormat="0" applyProtection="0">
      <alignment horizontal="left" vertical="center" indent="1"/>
    </xf>
    <xf numFmtId="164" fontId="33" fillId="27" borderId="0" applyNumberFormat="0" applyProtection="0">
      <alignment horizontal="left" vertical="center" indent="1"/>
    </xf>
    <xf numFmtId="164" fontId="1" fillId="4" borderId="8" applyNumberFormat="0" applyProtection="0">
      <alignment horizontal="left" vertical="center" indent="1"/>
    </xf>
    <xf numFmtId="164" fontId="30" fillId="26" borderId="8" applyNumberFormat="0" applyProtection="0">
      <alignment horizontal="left" vertical="center" indent="1"/>
    </xf>
    <xf numFmtId="164" fontId="30" fillId="28" borderId="8" applyNumberFormat="0" applyProtection="0">
      <alignment horizontal="left" vertical="center" indent="1"/>
    </xf>
    <xf numFmtId="164" fontId="1" fillId="28" borderId="8" applyNumberFormat="0" applyProtection="0">
      <alignment horizontal="left" vertical="center" indent="1"/>
    </xf>
    <xf numFmtId="164" fontId="1" fillId="28" borderId="8" applyNumberFormat="0" applyProtection="0">
      <alignment horizontal="left" vertical="center" indent="1"/>
    </xf>
    <xf numFmtId="164" fontId="1" fillId="21" borderId="8" applyNumberFormat="0" applyProtection="0">
      <alignment horizontal="left" vertical="center" indent="1"/>
    </xf>
    <xf numFmtId="164" fontId="1" fillId="21" borderId="8" applyNumberFormat="0" applyProtection="0">
      <alignment horizontal="left" vertical="center" indent="1"/>
    </xf>
    <xf numFmtId="164" fontId="1" fillId="2" borderId="8" applyNumberFormat="0" applyProtection="0">
      <alignment horizontal="left" vertical="center" indent="1"/>
    </xf>
    <xf numFmtId="164" fontId="1" fillId="2" borderId="8" applyNumberFormat="0" applyProtection="0">
      <alignment horizontal="left" vertical="center" indent="1"/>
    </xf>
    <xf numFmtId="164" fontId="1" fillId="4" borderId="8" applyNumberFormat="0" applyProtection="0">
      <alignment horizontal="left" vertical="center" indent="1"/>
    </xf>
    <xf numFmtId="164" fontId="1" fillId="4" borderId="8" applyNumberFormat="0" applyProtection="0">
      <alignment horizontal="left" vertical="center" indent="1"/>
    </xf>
    <xf numFmtId="164" fontId="0" fillId="0" borderId="0">
      <alignment/>
      <protection/>
    </xf>
    <xf numFmtId="164" fontId="30" fillId="23" borderId="8" applyNumberFormat="0" applyProtection="0">
      <alignment vertical="center"/>
    </xf>
    <xf numFmtId="164" fontId="31" fillId="23" borderId="8" applyNumberFormat="0" applyProtection="0">
      <alignment vertical="center"/>
    </xf>
    <xf numFmtId="164" fontId="30" fillId="23" borderId="8" applyNumberFormat="0" applyProtection="0">
      <alignment horizontal="left" vertical="center" indent="1"/>
    </xf>
    <xf numFmtId="164" fontId="30" fillId="23" borderId="8" applyNumberFormat="0" applyProtection="0">
      <alignment horizontal="left" vertical="center" indent="1"/>
    </xf>
    <xf numFmtId="164" fontId="30" fillId="26" borderId="8" applyNumberFormat="0" applyProtection="0">
      <alignment horizontal="right" vertical="center"/>
    </xf>
    <xf numFmtId="164" fontId="31" fillId="26" borderId="8" applyNumberFormat="0" applyProtection="0">
      <alignment horizontal="right" vertical="center"/>
    </xf>
    <xf numFmtId="164" fontId="1" fillId="4" borderId="8" applyNumberFormat="0" applyProtection="0">
      <alignment horizontal="left" vertical="center" indent="1"/>
    </xf>
    <xf numFmtId="164" fontId="1" fillId="4" borderId="8" applyNumberFormat="0" applyProtection="0">
      <alignment horizontal="left" vertical="center" indent="1"/>
    </xf>
    <xf numFmtId="164" fontId="34" fillId="0" borderId="0">
      <alignment/>
      <protection/>
    </xf>
    <xf numFmtId="164" fontId="35" fillId="26" borderId="8" applyNumberFormat="0" applyProtection="0">
      <alignment horizontal="right" vertical="center"/>
    </xf>
    <xf numFmtId="164" fontId="1" fillId="0" borderId="0">
      <alignment/>
      <protection/>
    </xf>
    <xf numFmtId="167" fontId="36" fillId="29" borderId="0">
      <alignment horizontal="right" vertical="top"/>
      <protection/>
    </xf>
    <xf numFmtId="164" fontId="37" fillId="0" borderId="0" applyNumberFormat="0" applyFill="0" applyBorder="0" applyAlignment="0" applyProtection="0"/>
    <xf numFmtId="164" fontId="38" fillId="0" borderId="10" applyNumberFormat="0" applyFill="0" applyAlignment="0" applyProtection="0"/>
    <xf numFmtId="164" fontId="39" fillId="0" borderId="0" applyNumberFormat="0" applyFill="0" applyBorder="0" applyAlignment="0" applyProtection="0"/>
    <xf numFmtId="180" fontId="40" fillId="0" borderId="11">
      <alignment/>
      <protection locked="0"/>
    </xf>
    <xf numFmtId="181" fontId="0" fillId="0" borderId="12">
      <alignment/>
      <protection locked="0"/>
    </xf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1" fontId="41" fillId="7" borderId="12">
      <alignment/>
      <protection/>
    </xf>
    <xf numFmtId="181" fontId="42" fillId="0" borderId="0">
      <alignment/>
      <protection/>
    </xf>
    <xf numFmtId="164" fontId="43" fillId="0" borderId="0" applyNumberFormat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64" fontId="44" fillId="0" borderId="0" applyNumberFormat="0" applyFill="0" applyBorder="0" applyAlignment="0" applyProtection="0"/>
    <xf numFmtId="186" fontId="40" fillId="0" borderId="0">
      <alignment/>
      <protection locked="0"/>
    </xf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64" fontId="5" fillId="20" borderId="0" applyNumberFormat="0" applyBorder="0" applyAlignment="0" applyProtection="0"/>
    <xf numFmtId="181" fontId="0" fillId="0" borderId="12">
      <alignment/>
      <protection locked="0"/>
    </xf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4" fillId="8" borderId="1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28" fillId="2" borderId="8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7" fillId="2" borderId="1" applyNumberFormat="0" applyAlignment="0" applyProtection="0"/>
    <xf numFmtId="164" fontId="45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87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8" fillId="0" borderId="0" applyBorder="0">
      <alignment horizontal="center" vertical="center" wrapText="1"/>
      <protection/>
    </xf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0" fillId="0" borderId="3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1" fillId="0" borderId="4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5" applyNumberFormat="0" applyFill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49" fillId="0" borderId="0" applyBorder="0">
      <alignment horizontal="center" vertical="center" wrapText="1"/>
      <protection/>
    </xf>
    <xf numFmtId="181" fontId="41" fillId="7" borderId="12">
      <alignment/>
      <protection/>
    </xf>
    <xf numFmtId="188" fontId="50" fillId="22" borderId="0" applyBorder="0">
      <alignment horizontal="right"/>
      <protection/>
    </xf>
    <xf numFmtId="189" fontId="51" fillId="0" borderId="0" applyBorder="0">
      <alignment vertical="center"/>
      <protection/>
    </xf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27" fillId="0" borderId="11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4" fontId="38" fillId="0" borderId="10" applyNumberFormat="0" applyFill="0" applyAlignment="0" applyProtection="0"/>
    <xf numFmtId="169" fontId="41" fillId="0" borderId="0" applyBorder="0">
      <alignment vertical="center"/>
      <protection/>
    </xf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8" fillId="21" borderId="2" applyNumberFormat="0" applyAlignment="0" applyProtection="0"/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27" fillId="0" borderId="0" applyFill="0">
      <alignment wrapText="1"/>
      <protection/>
    </xf>
    <xf numFmtId="164" fontId="47" fillId="0" borderId="0">
      <alignment horizontal="center" vertical="top" wrapText="1"/>
      <protection/>
    </xf>
    <xf numFmtId="164" fontId="52" fillId="0" borderId="0">
      <alignment horizontal="center" vertical="center" wrapText="1"/>
      <protection/>
    </xf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89" fontId="50" fillId="0" borderId="0" applyBorder="0">
      <alignment vertical="top"/>
      <protection/>
    </xf>
    <xf numFmtId="164" fontId="30" fillId="0" borderId="0">
      <alignment/>
      <protection/>
    </xf>
    <xf numFmtId="189" fontId="50" fillId="0" borderId="0" applyBorder="0">
      <alignment vertical="top"/>
      <protection/>
    </xf>
    <xf numFmtId="189" fontId="50" fillId="0" borderId="0" applyBorder="0">
      <alignment vertical="top"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53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54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5" fillId="0" borderId="0">
      <alignment/>
      <protection/>
    </xf>
    <xf numFmtId="164" fontId="0" fillId="0" borderId="0">
      <alignment/>
      <protection/>
    </xf>
    <xf numFmtId="189" fontId="50" fillId="0" borderId="0" applyBorder="0">
      <alignment vertical="top"/>
      <protection/>
    </xf>
    <xf numFmtId="189" fontId="50" fillId="0" borderId="0" applyBorder="0">
      <alignment vertical="top"/>
      <protection/>
    </xf>
    <xf numFmtId="189" fontId="50" fillId="0" borderId="0" applyBorder="0">
      <alignment vertical="top"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0" fillId="0" borderId="0" applyFill="0" applyBorder="0" applyProtection="0">
      <alignment horizontal="center" vertical="center" wrapText="1"/>
    </xf>
    <xf numFmtId="164" fontId="0" fillId="0" borderId="0" applyNumberFormat="0" applyFill="0" applyBorder="0" applyProtection="0">
      <alignment horizontal="justify" vertical="center" wrapText="1"/>
    </xf>
    <xf numFmtId="164" fontId="56" fillId="22" borderId="0" applyNumberFormat="0" applyBorder="0" applyAlignment="0">
      <protection locked="0"/>
    </xf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1" fillId="0" borderId="0">
      <alignment/>
      <protection/>
    </xf>
    <xf numFmtId="167" fontId="2" fillId="0" borderId="0">
      <alignment vertical="top"/>
      <protection/>
    </xf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4" fillId="0" borderId="0">
      <alignment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89" fontId="27" fillId="0" borderId="0">
      <alignment horizontal="center"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88" fontId="50" fillId="3" borderId="0" applyBorder="0">
      <alignment horizontal="right"/>
      <protection/>
    </xf>
    <xf numFmtId="188" fontId="50" fillId="3" borderId="0" applyBorder="0">
      <alignment horizontal="right"/>
      <protection/>
    </xf>
    <xf numFmtId="188" fontId="50" fillId="3" borderId="0" applyBorder="0">
      <alignment horizontal="right"/>
      <protection/>
    </xf>
    <xf numFmtId="188" fontId="50" fillId="8" borderId="0" applyBorder="0">
      <alignment horizontal="right"/>
      <protection/>
    </xf>
    <xf numFmtId="188" fontId="0" fillId="3" borderId="0" applyBorder="0">
      <alignment horizontal="right"/>
      <protection/>
    </xf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</cellStyleXfs>
  <cellXfs count="5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59" fillId="0" borderId="0" xfId="0" applyFont="1" applyBorder="1" applyAlignment="1">
      <alignment horizontal="center"/>
    </xf>
    <xf numFmtId="164" fontId="61" fillId="0" borderId="0" xfId="0" applyFont="1" applyBorder="1" applyAlignment="1">
      <alignment horizontal="center"/>
    </xf>
    <xf numFmtId="164" fontId="53" fillId="0" borderId="0" xfId="0" applyFont="1" applyAlignment="1">
      <alignment/>
    </xf>
    <xf numFmtId="164" fontId="53" fillId="0" borderId="13" xfId="0" applyFont="1" applyBorder="1" applyAlignment="1">
      <alignment horizontal="center" vertical="center" wrapText="1"/>
    </xf>
    <xf numFmtId="164" fontId="53" fillId="0" borderId="13" xfId="0" applyFont="1" applyBorder="1" applyAlignment="1">
      <alignment horizontal="center" vertical="center"/>
    </xf>
    <xf numFmtId="164" fontId="53" fillId="0" borderId="14" xfId="0" applyFont="1" applyBorder="1" applyAlignment="1">
      <alignment horizontal="center" vertical="center" wrapText="1"/>
    </xf>
    <xf numFmtId="164" fontId="53" fillId="0" borderId="15" xfId="0" applyFont="1" applyBorder="1" applyAlignment="1">
      <alignment horizontal="center" vertical="center" wrapText="1"/>
    </xf>
    <xf numFmtId="164" fontId="53" fillId="0" borderId="16" xfId="0" applyFont="1" applyBorder="1" applyAlignment="1">
      <alignment horizontal="center" vertical="center"/>
    </xf>
    <xf numFmtId="164" fontId="53" fillId="0" borderId="17" xfId="0" applyFont="1" applyBorder="1" applyAlignment="1">
      <alignment horizontal="center" vertical="center" wrapText="1"/>
    </xf>
    <xf numFmtId="164" fontId="53" fillId="0" borderId="14" xfId="0" applyFont="1" applyBorder="1" applyAlignment="1">
      <alignment horizontal="center" vertical="center"/>
    </xf>
    <xf numFmtId="164" fontId="53" fillId="0" borderId="18" xfId="0" applyFont="1" applyFill="1" applyBorder="1" applyAlignment="1">
      <alignment horizontal="center" vertical="center"/>
    </xf>
    <xf numFmtId="164" fontId="62" fillId="0" borderId="13" xfId="0" applyFont="1" applyBorder="1" applyAlignment="1">
      <alignment horizontal="center" vertical="center"/>
    </xf>
    <xf numFmtId="164" fontId="62" fillId="0" borderId="13" xfId="0" applyFont="1" applyBorder="1" applyAlignment="1">
      <alignment horizontal="left" vertical="center"/>
    </xf>
    <xf numFmtId="164" fontId="53" fillId="0" borderId="13" xfId="0" applyFont="1" applyFill="1" applyBorder="1" applyAlignment="1">
      <alignment horizontal="center" vertical="center"/>
    </xf>
    <xf numFmtId="164" fontId="0" fillId="0" borderId="13" xfId="0" applyFont="1" applyBorder="1" applyAlignment="1">
      <alignment/>
    </xf>
    <xf numFmtId="164" fontId="53" fillId="0" borderId="13" xfId="0" applyFont="1" applyBorder="1" applyAlignment="1">
      <alignment horizontal="left" vertical="center" indent="1"/>
    </xf>
    <xf numFmtId="177" fontId="53" fillId="0" borderId="13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53" fillId="0" borderId="13" xfId="0" applyFont="1" applyBorder="1" applyAlignment="1">
      <alignment horizontal="left" vertical="center" indent="2"/>
    </xf>
    <xf numFmtId="164" fontId="53" fillId="0" borderId="13" xfId="0" applyFont="1" applyBorder="1" applyAlignment="1">
      <alignment horizontal="left" vertical="center" wrapText="1" indent="2"/>
    </xf>
    <xf numFmtId="189" fontId="53" fillId="0" borderId="13" xfId="0" applyNumberFormat="1" applyFont="1" applyBorder="1" applyAlignment="1">
      <alignment horizontal="center" vertical="center"/>
    </xf>
    <xf numFmtId="200" fontId="53" fillId="0" borderId="13" xfId="0" applyNumberFormat="1" applyFont="1" applyFill="1" applyBorder="1" applyAlignment="1">
      <alignment horizontal="center" vertical="center"/>
    </xf>
    <xf numFmtId="190" fontId="53" fillId="0" borderId="13" xfId="19" applyFont="1" applyFill="1" applyBorder="1" applyAlignment="1" applyProtection="1">
      <alignment horizontal="center" vertical="center"/>
      <protection/>
    </xf>
    <xf numFmtId="165" fontId="53" fillId="0" borderId="13" xfId="19" applyNumberFormat="1" applyFont="1" applyFill="1" applyBorder="1" applyAlignment="1" applyProtection="1">
      <alignment horizontal="center" vertical="center"/>
      <protection/>
    </xf>
    <xf numFmtId="164" fontId="53" fillId="0" borderId="13" xfId="0" applyFont="1" applyBorder="1" applyAlignment="1">
      <alignment horizontal="left" vertical="top" wrapText="1" indent="2"/>
    </xf>
    <xf numFmtId="189" fontId="62" fillId="0" borderId="13" xfId="0" applyNumberFormat="1" applyFont="1" applyBorder="1" applyAlignment="1">
      <alignment horizontal="center" vertical="center"/>
    </xf>
    <xf numFmtId="164" fontId="53" fillId="0" borderId="13" xfId="0" applyFont="1" applyFill="1" applyBorder="1" applyAlignment="1">
      <alignment horizontal="left" vertical="center" indent="2"/>
    </xf>
    <xf numFmtId="164" fontId="53" fillId="0" borderId="13" xfId="0" applyFont="1" applyFill="1" applyBorder="1" applyAlignment="1">
      <alignment horizontal="left" vertical="center" wrapText="1" indent="2"/>
    </xf>
    <xf numFmtId="164" fontId="62" fillId="0" borderId="13" xfId="0" applyFont="1" applyBorder="1" applyAlignment="1">
      <alignment horizontal="left" vertical="center" wrapText="1"/>
    </xf>
    <xf numFmtId="164" fontId="53" fillId="0" borderId="13" xfId="0" applyFont="1" applyBorder="1" applyAlignment="1">
      <alignment horizontal="left" vertical="center" wrapText="1" indent="1"/>
    </xf>
    <xf numFmtId="190" fontId="53" fillId="0" borderId="13" xfId="1433" applyFont="1" applyFill="1" applyBorder="1" applyAlignment="1" applyProtection="1">
      <alignment horizontal="center" vertical="center"/>
      <protection/>
    </xf>
    <xf numFmtId="164" fontId="61" fillId="0" borderId="0" xfId="0" applyFont="1" applyAlignment="1">
      <alignment vertical="center"/>
    </xf>
    <xf numFmtId="164" fontId="63" fillId="0" borderId="0" xfId="0" applyFont="1" applyAlignment="1">
      <alignment/>
    </xf>
    <xf numFmtId="164" fontId="61" fillId="0" borderId="0" xfId="0" applyFont="1" applyAlignment="1">
      <alignment horizontal="center"/>
    </xf>
    <xf numFmtId="164" fontId="61" fillId="0" borderId="0" xfId="0" applyFont="1" applyAlignment="1">
      <alignment horizontal="center" vertical="center"/>
    </xf>
    <xf numFmtId="164" fontId="62" fillId="0" borderId="0" xfId="0" applyFont="1" applyBorder="1" applyAlignment="1">
      <alignment horizontal="left" vertical="center"/>
    </xf>
    <xf numFmtId="164" fontId="53" fillId="0" borderId="0" xfId="0" applyFont="1" applyAlignment="1">
      <alignment horizontal="center" vertical="center"/>
    </xf>
    <xf numFmtId="164" fontId="62" fillId="0" borderId="0" xfId="0" applyFont="1" applyAlignment="1">
      <alignment/>
    </xf>
    <xf numFmtId="164" fontId="0" fillId="0" borderId="0" xfId="1305">
      <alignment/>
      <protection/>
    </xf>
    <xf numFmtId="164" fontId="64" fillId="0" borderId="0" xfId="0" applyFont="1" applyBorder="1" applyAlignment="1">
      <alignment horizontal="center" wrapText="1"/>
    </xf>
    <xf numFmtId="164" fontId="64" fillId="0" borderId="0" xfId="0" applyFont="1" applyAlignment="1">
      <alignment wrapText="1"/>
    </xf>
    <xf numFmtId="164" fontId="61" fillId="0" borderId="0" xfId="0" applyFont="1" applyBorder="1" applyAlignment="1">
      <alignment horizontal="right"/>
    </xf>
    <xf numFmtId="164" fontId="60" fillId="0" borderId="0" xfId="0" applyFont="1" applyAlignment="1">
      <alignment vertical="center"/>
    </xf>
    <xf numFmtId="164" fontId="61" fillId="0" borderId="0" xfId="0" applyFont="1" applyAlignment="1">
      <alignment/>
    </xf>
    <xf numFmtId="164" fontId="65" fillId="0" borderId="0" xfId="0" applyFont="1" applyAlignment="1">
      <alignment vertical="center"/>
    </xf>
    <xf numFmtId="164" fontId="66" fillId="0" borderId="0" xfId="0" applyFont="1" applyAlignment="1">
      <alignment/>
    </xf>
    <xf numFmtId="164" fontId="53" fillId="0" borderId="0" xfId="1305" applyFont="1">
      <alignment/>
      <protection/>
    </xf>
    <xf numFmtId="164" fontId="67" fillId="0" borderId="13" xfId="0" applyFont="1" applyBorder="1" applyAlignment="1">
      <alignment horizontal="center" vertical="center" wrapText="1"/>
    </xf>
    <xf numFmtId="164" fontId="67" fillId="0" borderId="17" xfId="0" applyFont="1" applyBorder="1" applyAlignment="1">
      <alignment horizontal="center" vertical="center" wrapText="1"/>
    </xf>
    <xf numFmtId="189" fontId="64" fillId="0" borderId="13" xfId="1305" applyNumberFormat="1" applyFont="1" applyBorder="1" applyAlignment="1">
      <alignment horizontal="right" wrapText="1"/>
      <protection/>
    </xf>
    <xf numFmtId="164" fontId="64" fillId="0" borderId="13" xfId="1305" applyFont="1" applyBorder="1" applyAlignment="1">
      <alignment wrapText="1"/>
      <protection/>
    </xf>
    <xf numFmtId="177" fontId="67" fillId="0" borderId="13" xfId="1305" applyNumberFormat="1" applyFont="1" applyBorder="1" applyAlignment="1">
      <alignment horizontal="right" wrapText="1"/>
      <protection/>
    </xf>
    <xf numFmtId="164" fontId="0" fillId="0" borderId="13" xfId="1305" applyBorder="1">
      <alignment/>
      <protection/>
    </xf>
    <xf numFmtId="189" fontId="67" fillId="0" borderId="13" xfId="1305" applyNumberFormat="1" applyFont="1" applyBorder="1" applyAlignment="1">
      <alignment horizontal="right" wrapText="1"/>
      <protection/>
    </xf>
    <xf numFmtId="164" fontId="67" fillId="0" borderId="13" xfId="1305" applyFont="1" applyBorder="1" applyAlignment="1">
      <alignment wrapText="1"/>
      <protection/>
    </xf>
    <xf numFmtId="164" fontId="67" fillId="0" borderId="13" xfId="0" applyFont="1" applyBorder="1" applyAlignment="1">
      <alignment wrapText="1"/>
    </xf>
    <xf numFmtId="177" fontId="67" fillId="0" borderId="13" xfId="1305" applyNumberFormat="1" applyFont="1" applyBorder="1" applyAlignment="1">
      <alignment wrapText="1"/>
      <protection/>
    </xf>
    <xf numFmtId="189" fontId="67" fillId="0" borderId="13" xfId="1305" applyNumberFormat="1" applyFont="1" applyBorder="1" applyAlignment="1">
      <alignment horizontal="center" wrapText="1"/>
      <protection/>
    </xf>
    <xf numFmtId="177" fontId="64" fillId="0" borderId="13" xfId="1305" applyNumberFormat="1" applyFont="1" applyBorder="1" applyAlignment="1">
      <alignment horizontal="right" wrapText="1"/>
      <protection/>
    </xf>
    <xf numFmtId="189" fontId="67" fillId="0" borderId="13" xfId="1305" applyNumberFormat="1" applyFont="1" applyBorder="1" applyAlignment="1">
      <alignment wrapText="1"/>
      <protection/>
    </xf>
    <xf numFmtId="177" fontId="64" fillId="0" borderId="13" xfId="1305" applyNumberFormat="1" applyFont="1" applyBorder="1" applyAlignment="1">
      <alignment wrapText="1"/>
      <protection/>
    </xf>
    <xf numFmtId="164" fontId="0" fillId="0" borderId="0" xfId="1305" applyFont="1">
      <alignment/>
      <protection/>
    </xf>
    <xf numFmtId="164" fontId="64" fillId="0" borderId="13" xfId="1305" applyFont="1" applyBorder="1">
      <alignment/>
      <protection/>
    </xf>
    <xf numFmtId="177" fontId="64" fillId="0" borderId="13" xfId="1305" applyNumberFormat="1" applyFont="1" applyBorder="1" applyAlignment="1">
      <alignment horizontal="right"/>
      <protection/>
    </xf>
    <xf numFmtId="164" fontId="63" fillId="0" borderId="0" xfId="1305" applyFont="1">
      <alignment/>
      <protection/>
    </xf>
    <xf numFmtId="164" fontId="61" fillId="0" borderId="0" xfId="1305" applyFont="1">
      <alignment/>
      <protection/>
    </xf>
    <xf numFmtId="164" fontId="59" fillId="0" borderId="0" xfId="1305" applyFont="1">
      <alignment/>
      <protection/>
    </xf>
    <xf numFmtId="164" fontId="59" fillId="0" borderId="0" xfId="0" applyFont="1" applyBorder="1" applyAlignment="1">
      <alignment horizontal="left" vertical="center" wrapText="1"/>
    </xf>
    <xf numFmtId="164" fontId="59" fillId="0" borderId="0" xfId="0" applyFont="1" applyAlignment="1">
      <alignment horizontal="center" vertical="center" wrapText="1"/>
    </xf>
    <xf numFmtId="164" fontId="64" fillId="0" borderId="0" xfId="0" applyFont="1" applyBorder="1" applyAlignment="1">
      <alignment horizontal="left" vertical="top"/>
    </xf>
    <xf numFmtId="164" fontId="68" fillId="0" borderId="0" xfId="0" applyFont="1" applyFill="1" applyBorder="1" applyAlignment="1">
      <alignment vertical="center" wrapText="1"/>
    </xf>
    <xf numFmtId="164" fontId="69" fillId="0" borderId="0" xfId="0" applyFont="1" applyFill="1" applyBorder="1" applyAlignment="1">
      <alignment vertical="center" wrapText="1"/>
    </xf>
    <xf numFmtId="164" fontId="70" fillId="0" borderId="0" xfId="0" applyFont="1" applyFill="1" applyAlignment="1">
      <alignment vertical="top" wrapText="1"/>
    </xf>
    <xf numFmtId="164" fontId="67" fillId="0" borderId="0" xfId="0" applyFont="1" applyFill="1" applyBorder="1" applyAlignment="1">
      <alignment horizontal="left" vertical="center"/>
    </xf>
    <xf numFmtId="164" fontId="67" fillId="0" borderId="0" xfId="0" applyFont="1" applyFill="1" applyBorder="1" applyAlignment="1">
      <alignment horizontal="left" vertical="center" wrapText="1"/>
    </xf>
    <xf numFmtId="164" fontId="71" fillId="0" borderId="16" xfId="0" applyFont="1" applyFill="1" applyBorder="1" applyAlignment="1">
      <alignment vertical="center"/>
    </xf>
    <xf numFmtId="164" fontId="71" fillId="0" borderId="19" xfId="0" applyFont="1" applyFill="1" applyBorder="1" applyAlignment="1">
      <alignment vertical="center"/>
    </xf>
    <xf numFmtId="164" fontId="71" fillId="0" borderId="0" xfId="0" applyFont="1" applyFill="1" applyBorder="1" applyAlignment="1">
      <alignment vertical="center"/>
    </xf>
    <xf numFmtId="164" fontId="72" fillId="0" borderId="13" xfId="0" applyFont="1" applyFill="1" applyBorder="1" applyAlignment="1">
      <alignment horizontal="center" vertical="center"/>
    </xf>
    <xf numFmtId="164" fontId="72" fillId="0" borderId="13" xfId="0" applyFont="1" applyFill="1" applyBorder="1" applyAlignment="1">
      <alignment horizontal="center" vertical="center" wrapText="1"/>
    </xf>
    <xf numFmtId="164" fontId="71" fillId="0" borderId="13" xfId="0" applyFont="1" applyFill="1" applyBorder="1" applyAlignment="1">
      <alignment horizontal="center" vertical="center"/>
    </xf>
    <xf numFmtId="164" fontId="71" fillId="0" borderId="13" xfId="0" applyFont="1" applyFill="1" applyBorder="1" applyAlignment="1">
      <alignment horizontal="center" vertical="center" wrapText="1"/>
    </xf>
    <xf numFmtId="164" fontId="72" fillId="0" borderId="13" xfId="1310" applyNumberFormat="1" applyFont="1" applyFill="1" applyBorder="1" applyAlignment="1" applyProtection="1">
      <alignment horizontal="left" vertical="center" wrapText="1"/>
      <protection/>
    </xf>
    <xf numFmtId="164" fontId="72" fillId="0" borderId="13" xfId="0" applyFont="1" applyFill="1" applyBorder="1" applyAlignment="1">
      <alignment/>
    </xf>
    <xf numFmtId="177" fontId="72" fillId="0" borderId="13" xfId="0" applyNumberFormat="1" applyFont="1" applyFill="1" applyBorder="1" applyAlignment="1">
      <alignment horizontal="center" vertical="center"/>
    </xf>
    <xf numFmtId="164" fontId="72" fillId="0" borderId="13" xfId="1310" applyNumberFormat="1" applyFont="1" applyFill="1" applyBorder="1" applyAlignment="1" applyProtection="1">
      <alignment horizontal="right" wrapText="1"/>
      <protection/>
    </xf>
    <xf numFmtId="177" fontId="72" fillId="0" borderId="13" xfId="0" applyNumberFormat="1" applyFont="1" applyFill="1" applyBorder="1" applyAlignment="1">
      <alignment/>
    </xf>
    <xf numFmtId="164" fontId="0" fillId="0" borderId="0" xfId="0" applyAlignment="1">
      <alignment/>
    </xf>
    <xf numFmtId="164" fontId="73" fillId="0" borderId="13" xfId="0" applyFont="1" applyFill="1" applyBorder="1" applyAlignment="1">
      <alignment/>
    </xf>
    <xf numFmtId="164" fontId="71" fillId="0" borderId="20" xfId="0" applyFont="1" applyFill="1" applyBorder="1" applyAlignment="1">
      <alignment horizontal="left" vertical="center" wrapText="1"/>
    </xf>
    <xf numFmtId="164" fontId="72" fillId="0" borderId="13" xfId="1310" applyNumberFormat="1" applyFont="1" applyFill="1" applyBorder="1" applyAlignment="1" applyProtection="1">
      <alignment horizontal="center" vertical="center" wrapText="1"/>
      <protection/>
    </xf>
    <xf numFmtId="164" fontId="71" fillId="0" borderId="13" xfId="1310" applyNumberFormat="1" applyFont="1" applyFill="1" applyBorder="1" applyAlignment="1" applyProtection="1">
      <alignment horizontal="left" vertical="center" wrapText="1"/>
      <protection/>
    </xf>
    <xf numFmtId="164" fontId="71" fillId="0" borderId="13" xfId="1310" applyNumberFormat="1" applyFont="1" applyFill="1" applyBorder="1" applyAlignment="1" applyProtection="1">
      <alignment horizontal="center" vertical="center" wrapText="1"/>
      <protection/>
    </xf>
    <xf numFmtId="164" fontId="71" fillId="0" borderId="13" xfId="0" applyFont="1" applyFill="1" applyBorder="1" applyAlignment="1">
      <alignment/>
    </xf>
    <xf numFmtId="177" fontId="71" fillId="0" borderId="13" xfId="0" applyNumberFormat="1" applyFont="1" applyFill="1" applyBorder="1" applyAlignment="1">
      <alignment/>
    </xf>
    <xf numFmtId="164" fontId="71" fillId="0" borderId="21" xfId="0" applyFont="1" applyFill="1" applyBorder="1" applyAlignment="1">
      <alignment vertical="center"/>
    </xf>
    <xf numFmtId="164" fontId="71" fillId="0" borderId="22" xfId="0" applyFont="1" applyFill="1" applyBorder="1" applyAlignment="1">
      <alignment vertical="center"/>
    </xf>
    <xf numFmtId="164" fontId="72" fillId="0" borderId="14" xfId="0" applyFont="1" applyFill="1" applyBorder="1" applyAlignment="1">
      <alignment vertical="center"/>
    </xf>
    <xf numFmtId="164" fontId="72" fillId="0" borderId="20" xfId="0" applyFont="1" applyFill="1" applyBorder="1" applyAlignment="1">
      <alignment horizontal="center" vertical="center" wrapText="1"/>
    </xf>
    <xf numFmtId="164" fontId="72" fillId="0" borderId="23" xfId="0" applyFont="1" applyFill="1" applyBorder="1" applyAlignment="1">
      <alignment horizontal="center" vertical="center" wrapText="1"/>
    </xf>
    <xf numFmtId="164" fontId="71" fillId="0" borderId="14" xfId="0" applyFont="1" applyFill="1" applyBorder="1" applyAlignment="1">
      <alignment/>
    </xf>
    <xf numFmtId="164" fontId="72" fillId="0" borderId="13" xfId="0" applyFont="1" applyFill="1" applyBorder="1" applyAlignment="1">
      <alignment horizontal="center"/>
    </xf>
    <xf numFmtId="164" fontId="72" fillId="0" borderId="13" xfId="1300" applyFont="1" applyFill="1" applyBorder="1">
      <alignment/>
      <protection/>
    </xf>
    <xf numFmtId="164" fontId="72" fillId="0" borderId="23" xfId="0" applyFont="1" applyFill="1" applyBorder="1" applyAlignment="1">
      <alignment horizontal="center" vertical="center"/>
    </xf>
    <xf numFmtId="202" fontId="72" fillId="0" borderId="13" xfId="1300" applyNumberFormat="1" applyFont="1" applyFill="1" applyBorder="1">
      <alignment/>
      <protection/>
    </xf>
    <xf numFmtId="164" fontId="71" fillId="0" borderId="14" xfId="0" applyFont="1" applyFill="1" applyBorder="1" applyAlignment="1">
      <alignment wrapText="1"/>
    </xf>
    <xf numFmtId="164" fontId="72" fillId="0" borderId="13" xfId="0" applyFont="1" applyFill="1" applyBorder="1" applyAlignment="1">
      <alignment horizontal="center" wrapText="1"/>
    </xf>
    <xf numFmtId="164" fontId="72" fillId="0" borderId="18" xfId="0" applyFont="1" applyFill="1" applyBorder="1" applyAlignment="1">
      <alignment horizontal="center" vertical="center" wrapText="1"/>
    </xf>
    <xf numFmtId="164" fontId="71" fillId="0" borderId="14" xfId="0" applyFont="1" applyFill="1" applyBorder="1" applyAlignment="1">
      <alignment horizontal="left" wrapText="1"/>
    </xf>
    <xf numFmtId="164" fontId="71" fillId="0" borderId="21" xfId="0" applyFont="1" applyFill="1" applyBorder="1" applyAlignment="1">
      <alignment wrapText="1"/>
    </xf>
    <xf numFmtId="164" fontId="71" fillId="0" borderId="20" xfId="0" applyFont="1" applyFill="1" applyBorder="1" applyAlignment="1">
      <alignment horizontal="left" wrapText="1"/>
    </xf>
    <xf numFmtId="164" fontId="71" fillId="0" borderId="20" xfId="0" applyFont="1" applyFill="1" applyBorder="1" applyAlignment="1">
      <alignment horizontal="center" vertical="center"/>
    </xf>
    <xf numFmtId="164" fontId="71" fillId="0" borderId="23" xfId="0" applyFont="1" applyFill="1" applyBorder="1" applyAlignment="1">
      <alignment horizontal="center" vertical="center"/>
    </xf>
    <xf numFmtId="164" fontId="73" fillId="0" borderId="13" xfId="1310" applyNumberFormat="1" applyFont="1" applyFill="1" applyBorder="1" applyAlignment="1" applyProtection="1">
      <alignment horizontal="center" vertical="center" wrapText="1"/>
      <protection/>
    </xf>
    <xf numFmtId="164" fontId="73" fillId="0" borderId="20" xfId="1310" applyNumberFormat="1" applyFont="1" applyFill="1" applyBorder="1" applyAlignment="1" applyProtection="1">
      <alignment horizontal="center" vertical="center" wrapText="1"/>
      <protection/>
    </xf>
    <xf numFmtId="177" fontId="73" fillId="0" borderId="13" xfId="0" applyNumberFormat="1" applyFont="1" applyFill="1" applyBorder="1" applyAlignment="1">
      <alignment/>
    </xf>
    <xf numFmtId="164" fontId="73" fillId="0" borderId="23" xfId="1310" applyNumberFormat="1" applyFont="1" applyFill="1" applyBorder="1" applyAlignment="1" applyProtection="1">
      <alignment horizontal="center" vertical="center" wrapText="1"/>
      <protection/>
    </xf>
    <xf numFmtId="164" fontId="71" fillId="0" borderId="0" xfId="0" applyFont="1" applyFill="1" applyBorder="1" applyAlignment="1">
      <alignment horizontal="left" vertical="center" wrapText="1"/>
    </xf>
    <xf numFmtId="164" fontId="73" fillId="0" borderId="0" xfId="1310" applyNumberFormat="1" applyFont="1" applyFill="1" applyBorder="1" applyAlignment="1" applyProtection="1">
      <alignment horizontal="center" vertical="center" wrapText="1"/>
      <protection/>
    </xf>
    <xf numFmtId="177" fontId="73" fillId="0" borderId="0" xfId="0" applyNumberFormat="1" applyFont="1" applyFill="1" applyBorder="1" applyAlignment="1">
      <alignment/>
    </xf>
    <xf numFmtId="164" fontId="27" fillId="0" borderId="0" xfId="0" applyFont="1" applyAlignment="1">
      <alignment/>
    </xf>
    <xf numFmtId="164" fontId="74" fillId="0" borderId="0" xfId="0" applyFont="1" applyAlignment="1">
      <alignment/>
    </xf>
    <xf numFmtId="164" fontId="70" fillId="0" borderId="0" xfId="1310" applyNumberFormat="1" applyFont="1" applyFill="1" applyBorder="1" applyAlignment="1" applyProtection="1">
      <alignment horizontal="center" vertical="center" wrapText="1"/>
      <protection/>
    </xf>
    <xf numFmtId="164" fontId="59" fillId="0" borderId="0" xfId="1305" applyFont="1" applyBorder="1" applyAlignment="1">
      <alignment horizontal="center"/>
      <protection/>
    </xf>
    <xf numFmtId="164" fontId="75" fillId="0" borderId="0" xfId="0" applyFont="1" applyAlignment="1">
      <alignment horizontal="center" vertical="center"/>
    </xf>
    <xf numFmtId="164" fontId="59" fillId="0" borderId="0" xfId="0" applyFont="1" applyAlignment="1">
      <alignment horizontal="center"/>
    </xf>
    <xf numFmtId="164" fontId="75" fillId="0" borderId="13" xfId="0" applyFont="1" applyBorder="1" applyAlignment="1">
      <alignment horizontal="center" vertical="center" wrapText="1"/>
    </xf>
    <xf numFmtId="164" fontId="76" fillId="0" borderId="13" xfId="1297" applyFont="1" applyBorder="1" applyAlignment="1">
      <alignment horizontal="center" vertical="center" wrapText="1"/>
      <protection/>
    </xf>
    <xf numFmtId="165" fontId="77" fillId="0" borderId="13" xfId="1309" applyNumberFormat="1" applyFont="1" applyFill="1" applyBorder="1" applyAlignment="1" applyProtection="1">
      <alignment horizontal="center" vertical="center" wrapText="1"/>
      <protection/>
    </xf>
    <xf numFmtId="189" fontId="62" fillId="0" borderId="14" xfId="0" applyNumberFormat="1" applyFont="1" applyBorder="1" applyAlignment="1">
      <alignment horizontal="center" vertical="center"/>
    </xf>
    <xf numFmtId="177" fontId="62" fillId="0" borderId="13" xfId="0" applyNumberFormat="1" applyFont="1" applyFill="1" applyBorder="1" applyAlignment="1">
      <alignment horizontal="center" vertical="center"/>
    </xf>
    <xf numFmtId="189" fontId="53" fillId="0" borderId="14" xfId="0" applyNumberFormat="1" applyFont="1" applyBorder="1" applyAlignment="1">
      <alignment horizontal="center" vertical="center"/>
    </xf>
    <xf numFmtId="164" fontId="57" fillId="0" borderId="0" xfId="0" applyFont="1" applyAlignment="1">
      <alignment/>
    </xf>
    <xf numFmtId="189" fontId="62" fillId="0" borderId="13" xfId="1311" applyNumberFormat="1" applyFont="1" applyFill="1" applyBorder="1" applyAlignment="1" applyProtection="1">
      <alignment horizontal="center" vertical="center" wrapText="1"/>
      <protection/>
    </xf>
    <xf numFmtId="164" fontId="62" fillId="0" borderId="13" xfId="1311" applyFont="1" applyFill="1" applyBorder="1" applyAlignment="1" applyProtection="1">
      <alignment horizontal="left" vertical="center" wrapText="1"/>
      <protection/>
    </xf>
    <xf numFmtId="164" fontId="62" fillId="0" borderId="13" xfId="1311" applyFont="1" applyFill="1" applyBorder="1" applyAlignment="1" applyProtection="1">
      <alignment horizontal="center" vertical="center" wrapText="1"/>
      <protection/>
    </xf>
    <xf numFmtId="164" fontId="53" fillId="0" borderId="13" xfId="1311" applyFont="1" applyFill="1" applyBorder="1" applyAlignment="1" applyProtection="1">
      <alignment horizontal="left" vertical="top" wrapText="1"/>
      <protection/>
    </xf>
    <xf numFmtId="177" fontId="53" fillId="0" borderId="13" xfId="0" applyNumberFormat="1" applyFont="1" applyBorder="1" applyAlignment="1">
      <alignment horizontal="center"/>
    </xf>
    <xf numFmtId="164" fontId="62" fillId="30" borderId="13" xfId="1311" applyFont="1" applyFill="1" applyBorder="1" applyAlignment="1" applyProtection="1">
      <alignment horizontal="left" vertical="top" wrapText="1"/>
      <protection/>
    </xf>
    <xf numFmtId="164" fontId="0" fillId="0" borderId="0" xfId="0" applyFill="1" applyAlignment="1">
      <alignment/>
    </xf>
    <xf numFmtId="164" fontId="61" fillId="0" borderId="0" xfId="0" applyFont="1" applyFill="1" applyBorder="1" applyAlignment="1">
      <alignment horizontal="left" wrapText="1"/>
    </xf>
    <xf numFmtId="164" fontId="59" fillId="0" borderId="0" xfId="0" applyFont="1" applyFill="1" applyAlignment="1">
      <alignment vertical="center" wrapText="1"/>
    </xf>
    <xf numFmtId="164" fontId="67" fillId="0" borderId="0" xfId="0" applyFont="1" applyFill="1" applyAlignment="1">
      <alignment vertical="center" wrapText="1"/>
    </xf>
    <xf numFmtId="164" fontId="61" fillId="0" borderId="0" xfId="0" applyFont="1" applyFill="1" applyAlignment="1">
      <alignment horizontal="left"/>
    </xf>
    <xf numFmtId="164" fontId="63" fillId="0" borderId="0" xfId="0" applyFont="1" applyFill="1" applyAlignment="1">
      <alignment/>
    </xf>
    <xf numFmtId="164" fontId="61" fillId="0" borderId="0" xfId="0" applyFont="1" applyFill="1" applyAlignment="1">
      <alignment horizontal="center" vertical="center"/>
    </xf>
    <xf numFmtId="164" fontId="61" fillId="0" borderId="0" xfId="0" applyFont="1" applyFill="1" applyAlignment="1">
      <alignment vertical="center" wrapText="1"/>
    </xf>
    <xf numFmtId="164" fontId="59" fillId="0" borderId="0" xfId="0" applyFont="1" applyBorder="1" applyAlignment="1">
      <alignment horizontal="center" vertical="center" wrapText="1"/>
    </xf>
    <xf numFmtId="164" fontId="59" fillId="0" borderId="0" xfId="0" applyFont="1" applyAlignment="1">
      <alignment vertical="center" wrapText="1"/>
    </xf>
    <xf numFmtId="164" fontId="77" fillId="0" borderId="13" xfId="0" applyFont="1" applyBorder="1" applyAlignment="1">
      <alignment horizontal="center" vertical="center" wrapText="1"/>
    </xf>
    <xf numFmtId="164" fontId="77" fillId="0" borderId="13" xfId="0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62" fillId="0" borderId="13" xfId="0" applyFont="1" applyBorder="1" applyAlignment="1">
      <alignment horizontal="justify" vertical="center" wrapText="1"/>
    </xf>
    <xf numFmtId="177" fontId="62" fillId="0" borderId="0" xfId="0" applyNumberFormat="1" applyFont="1" applyFill="1" applyBorder="1" applyAlignment="1">
      <alignment horizontal="center" vertical="center"/>
    </xf>
    <xf numFmtId="177" fontId="75" fillId="0" borderId="13" xfId="0" applyNumberFormat="1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64" fontId="53" fillId="0" borderId="0" xfId="0" applyFont="1" applyFill="1" applyBorder="1" applyAlignment="1">
      <alignment horizontal="center" vertical="center"/>
    </xf>
    <xf numFmtId="177" fontId="75" fillId="0" borderId="13" xfId="1297" applyNumberFormat="1" applyFont="1" applyFill="1" applyBorder="1" applyAlignment="1" applyProtection="1">
      <alignment horizontal="center" vertical="center" wrapText="1"/>
      <protection/>
    </xf>
    <xf numFmtId="177" fontId="75" fillId="30" borderId="13" xfId="1297" applyNumberFormat="1" applyFont="1" applyFill="1" applyBorder="1" applyAlignment="1" applyProtection="1">
      <alignment horizontal="center" vertical="center" wrapText="1"/>
      <protection/>
    </xf>
    <xf numFmtId="177" fontId="75" fillId="18" borderId="0" xfId="1297" applyNumberFormat="1" applyFont="1" applyFill="1" applyBorder="1" applyAlignment="1" applyProtection="1">
      <alignment horizontal="center" vertical="center" wrapText="1"/>
      <protection/>
    </xf>
    <xf numFmtId="164" fontId="62" fillId="0" borderId="13" xfId="0" applyFont="1" applyBorder="1" applyAlignment="1">
      <alignment vertical="center"/>
    </xf>
    <xf numFmtId="177" fontId="78" fillId="0" borderId="13" xfId="0" applyNumberFormat="1" applyFont="1" applyFill="1" applyBorder="1" applyAlignment="1">
      <alignment horizontal="center" vertical="center"/>
    </xf>
    <xf numFmtId="177" fontId="75" fillId="0" borderId="13" xfId="0" applyNumberFormat="1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164" fontId="62" fillId="0" borderId="13" xfId="0" applyFont="1" applyBorder="1" applyAlignment="1">
      <alignment vertical="center" wrapText="1"/>
    </xf>
    <xf numFmtId="188" fontId="53" fillId="0" borderId="0" xfId="0" applyNumberFormat="1" applyFont="1" applyFill="1" applyBorder="1" applyAlignment="1">
      <alignment horizontal="center" vertical="center"/>
    </xf>
    <xf numFmtId="177" fontId="75" fillId="0" borderId="0" xfId="0" applyNumberFormat="1" applyFont="1" applyFill="1" applyBorder="1" applyAlignment="1">
      <alignment horizontal="center" vertical="center"/>
    </xf>
    <xf numFmtId="177" fontId="53" fillId="18" borderId="0" xfId="0" applyNumberFormat="1" applyFont="1" applyFill="1" applyBorder="1" applyAlignment="1">
      <alignment horizontal="center" vertical="center"/>
    </xf>
    <xf numFmtId="164" fontId="53" fillId="0" borderId="0" xfId="0" applyFont="1" applyFill="1" applyAlignment="1">
      <alignment/>
    </xf>
    <xf numFmtId="164" fontId="59" fillId="0" borderId="0" xfId="0" applyFont="1" applyAlignment="1">
      <alignment/>
    </xf>
    <xf numFmtId="164" fontId="59" fillId="0" borderId="0" xfId="0" applyFont="1" applyAlignment="1">
      <alignment horizontal="right"/>
    </xf>
    <xf numFmtId="164" fontId="60" fillId="0" borderId="0" xfId="0" applyFont="1" applyAlignment="1">
      <alignment/>
    </xf>
    <xf numFmtId="164" fontId="75" fillId="0" borderId="0" xfId="0" applyFont="1" applyAlignment="1">
      <alignment/>
    </xf>
    <xf numFmtId="164" fontId="75" fillId="0" borderId="13" xfId="0" applyFont="1" applyBorder="1" applyAlignment="1">
      <alignment horizontal="center" vertical="center"/>
    </xf>
    <xf numFmtId="164" fontId="78" fillId="0" borderId="13" xfId="0" applyFont="1" applyBorder="1" applyAlignment="1">
      <alignment horizontal="center" vertical="center"/>
    </xf>
    <xf numFmtId="164" fontId="78" fillId="0" borderId="13" xfId="0" applyFont="1" applyBorder="1" applyAlignment="1">
      <alignment horizontal="left" vertical="center"/>
    </xf>
    <xf numFmtId="164" fontId="75" fillId="0" borderId="13" xfId="0" applyFont="1" applyFill="1" applyBorder="1" applyAlignment="1">
      <alignment horizontal="center" vertical="center"/>
    </xf>
    <xf numFmtId="164" fontId="78" fillId="0" borderId="13" xfId="0" applyFont="1" applyBorder="1" applyAlignment="1">
      <alignment horizontal="left" vertical="center" indent="1"/>
    </xf>
    <xf numFmtId="164" fontId="75" fillId="0" borderId="13" xfId="0" applyFont="1" applyBorder="1" applyAlignment="1">
      <alignment horizontal="left" vertical="center" indent="2"/>
    </xf>
    <xf numFmtId="164" fontId="75" fillId="11" borderId="13" xfId="0" applyFont="1" applyFill="1" applyBorder="1" applyAlignment="1">
      <alignment horizontal="center" vertical="center"/>
    </xf>
    <xf numFmtId="164" fontId="75" fillId="11" borderId="13" xfId="0" applyFont="1" applyFill="1" applyBorder="1" applyAlignment="1">
      <alignment horizontal="left" vertical="center" indent="2"/>
    </xf>
    <xf numFmtId="177" fontId="75" fillId="11" borderId="13" xfId="0" applyNumberFormat="1" applyFont="1" applyFill="1" applyBorder="1" applyAlignment="1">
      <alignment horizontal="center" vertical="center"/>
    </xf>
    <xf numFmtId="164" fontId="78" fillId="0" borderId="13" xfId="0" applyFont="1" applyBorder="1" applyAlignment="1">
      <alignment horizontal="justify" vertical="center" wrapText="1"/>
    </xf>
    <xf numFmtId="164" fontId="75" fillId="0" borderId="13" xfId="0" applyFont="1" applyFill="1" applyBorder="1" applyAlignment="1">
      <alignment horizontal="left" vertical="center" indent="2"/>
    </xf>
    <xf numFmtId="164" fontId="78" fillId="0" borderId="13" xfId="0" applyFont="1" applyBorder="1" applyAlignment="1">
      <alignment horizontal="left" vertical="center" wrapText="1" indent="1"/>
    </xf>
    <xf numFmtId="164" fontId="75" fillId="0" borderId="14" xfId="0" applyFont="1" applyBorder="1" applyAlignment="1">
      <alignment horizontal="center" vertical="center" wrapText="1"/>
    </xf>
    <xf numFmtId="164" fontId="75" fillId="0" borderId="14" xfId="0" applyFont="1" applyBorder="1" applyAlignment="1">
      <alignment horizontal="center" vertical="center"/>
    </xf>
    <xf numFmtId="164" fontId="72" fillId="0" borderId="13" xfId="0" applyFont="1" applyBorder="1" applyAlignment="1">
      <alignment horizontal="left" vertical="center" wrapText="1"/>
    </xf>
    <xf numFmtId="164" fontId="72" fillId="0" borderId="13" xfId="0" applyFont="1" applyBorder="1" applyAlignment="1">
      <alignment horizontal="center" vertical="center" wrapText="1"/>
    </xf>
    <xf numFmtId="176" fontId="78" fillId="0" borderId="13" xfId="0" applyNumberFormat="1" applyFont="1" applyFill="1" applyBorder="1" applyAlignment="1">
      <alignment horizontal="center" vertical="center"/>
    </xf>
    <xf numFmtId="164" fontId="72" fillId="0" borderId="13" xfId="0" applyFont="1" applyBorder="1" applyAlignment="1">
      <alignment vertical="center"/>
    </xf>
    <xf numFmtId="164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 horizontal="center" vertical="center"/>
    </xf>
    <xf numFmtId="164" fontId="72" fillId="0" borderId="13" xfId="0" applyFont="1" applyBorder="1" applyAlignment="1">
      <alignment vertical="center" wrapText="1"/>
    </xf>
    <xf numFmtId="164" fontId="75" fillId="0" borderId="13" xfId="0" applyFont="1" applyBorder="1" applyAlignment="1">
      <alignment horizontal="left" vertical="center" wrapText="1" indent="3"/>
    </xf>
    <xf numFmtId="176" fontId="75" fillId="0" borderId="13" xfId="0" applyNumberFormat="1" applyFont="1" applyFill="1" applyBorder="1" applyAlignment="1">
      <alignment horizontal="center" vertical="center"/>
    </xf>
    <xf numFmtId="164" fontId="78" fillId="0" borderId="14" xfId="0" applyFont="1" applyBorder="1" applyAlignment="1">
      <alignment horizontal="center" vertical="center"/>
    </xf>
    <xf numFmtId="164" fontId="78" fillId="0" borderId="13" xfId="0" applyFont="1" applyFill="1" applyBorder="1" applyAlignment="1">
      <alignment horizontal="center" vertical="center"/>
    </xf>
    <xf numFmtId="164" fontId="57" fillId="0" borderId="13" xfId="0" applyFont="1" applyBorder="1" applyAlignment="1">
      <alignment/>
    </xf>
    <xf numFmtId="164" fontId="75" fillId="0" borderId="13" xfId="0" applyFont="1" applyBorder="1" applyAlignment="1">
      <alignment horizontal="left" vertical="center" wrapText="1"/>
    </xf>
    <xf numFmtId="164" fontId="75" fillId="0" borderId="13" xfId="0" applyFont="1" applyBorder="1" applyAlignment="1">
      <alignment horizontal="left" vertical="center" wrapText="1" indent="4"/>
    </xf>
    <xf numFmtId="164" fontId="75" fillId="0" borderId="13" xfId="0" applyFont="1" applyBorder="1" applyAlignment="1">
      <alignment horizontal="left" vertical="center" wrapText="1" indent="2"/>
    </xf>
    <xf numFmtId="164" fontId="0" fillId="0" borderId="13" xfId="0" applyBorder="1" applyAlignment="1">
      <alignment/>
    </xf>
    <xf numFmtId="164" fontId="71" fillId="0" borderId="0" xfId="0" applyFont="1" applyBorder="1" applyAlignment="1">
      <alignment horizontal="center"/>
    </xf>
    <xf numFmtId="164" fontId="79" fillId="0" borderId="0" xfId="0" applyFont="1" applyAlignment="1">
      <alignment/>
    </xf>
    <xf numFmtId="164" fontId="75" fillId="0" borderId="0" xfId="0" applyFont="1" applyBorder="1" applyAlignment="1">
      <alignment horizontal="center"/>
    </xf>
    <xf numFmtId="164" fontId="75" fillId="0" borderId="0" xfId="0" applyFont="1" applyAlignment="1">
      <alignment/>
    </xf>
    <xf numFmtId="164" fontId="61" fillId="0" borderId="0" xfId="0" applyFont="1" applyAlignment="1">
      <alignment horizontal="right"/>
    </xf>
    <xf numFmtId="164" fontId="0" fillId="0" borderId="0" xfId="0" applyAlignment="1">
      <alignment/>
    </xf>
    <xf numFmtId="189" fontId="72" fillId="0" borderId="13" xfId="0" applyNumberFormat="1" applyFont="1" applyBorder="1" applyAlignment="1">
      <alignment horizontal="center" vertical="center"/>
    </xf>
    <xf numFmtId="164" fontId="72" fillId="0" borderId="13" xfId="0" applyFont="1" applyBorder="1" applyAlignment="1">
      <alignment horizontal="left" vertical="center"/>
    </xf>
    <xf numFmtId="177" fontId="72" fillId="0" borderId="13" xfId="0" applyNumberFormat="1" applyFont="1" applyBorder="1" applyAlignment="1">
      <alignment horizontal="right" vertical="center"/>
    </xf>
    <xf numFmtId="164" fontId="67" fillId="0" borderId="13" xfId="1300" applyFont="1" applyBorder="1" applyAlignment="1">
      <alignment horizontal="left" vertical="center" wrapText="1"/>
      <protection/>
    </xf>
    <xf numFmtId="164" fontId="67" fillId="0" borderId="13" xfId="1300" applyFont="1" applyBorder="1" applyAlignment="1">
      <alignment horizontal="center" vertical="center" wrapText="1"/>
      <protection/>
    </xf>
    <xf numFmtId="176" fontId="67" fillId="0" borderId="13" xfId="1300" applyNumberFormat="1" applyFont="1" applyBorder="1" applyAlignment="1">
      <alignment horizontal="center" vertical="center" wrapText="1"/>
      <protection/>
    </xf>
    <xf numFmtId="164" fontId="67" fillId="0" borderId="13" xfId="1300" applyFont="1" applyBorder="1" applyAlignment="1">
      <alignment horizontal="center" vertical="center"/>
      <protection/>
    </xf>
    <xf numFmtId="164" fontId="80" fillId="0" borderId="13" xfId="0" applyFont="1" applyFill="1" applyBorder="1" applyAlignment="1">
      <alignment horizontal="left" vertical="center" wrapText="1"/>
    </xf>
    <xf numFmtId="164" fontId="71" fillId="0" borderId="13" xfId="0" applyFont="1" applyBorder="1" applyAlignment="1">
      <alignment horizontal="left" vertical="center"/>
    </xf>
    <xf numFmtId="177" fontId="71" fillId="0" borderId="13" xfId="0" applyNumberFormat="1" applyFont="1" applyBorder="1" applyAlignment="1">
      <alignment horizontal="right" vertical="center"/>
    </xf>
    <xf numFmtId="176" fontId="71" fillId="0" borderId="13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64" fontId="81" fillId="0" borderId="0" xfId="0" applyFont="1" applyAlignment="1">
      <alignment/>
    </xf>
    <xf numFmtId="164" fontId="75" fillId="0" borderId="21" xfId="0" applyFont="1" applyBorder="1" applyAlignment="1">
      <alignment horizontal="center" vertical="center"/>
    </xf>
    <xf numFmtId="189" fontId="78" fillId="0" borderId="13" xfId="0" applyNumberFormat="1" applyFont="1" applyBorder="1" applyAlignment="1">
      <alignment horizontal="center" vertical="center"/>
    </xf>
    <xf numFmtId="164" fontId="78" fillId="0" borderId="21" xfId="0" applyFont="1" applyBorder="1" applyAlignment="1">
      <alignment horizontal="left" vertical="center" wrapText="1"/>
    </xf>
    <xf numFmtId="189" fontId="75" fillId="0" borderId="13" xfId="0" applyNumberFormat="1" applyFont="1" applyBorder="1" applyAlignment="1">
      <alignment horizontal="center" vertical="center"/>
    </xf>
    <xf numFmtId="164" fontId="75" fillId="0" borderId="21" xfId="0" applyFont="1" applyBorder="1" applyAlignment="1">
      <alignment horizontal="left" vertical="center" wrapText="1" indent="1"/>
    </xf>
    <xf numFmtId="164" fontId="78" fillId="0" borderId="21" xfId="0" applyFont="1" applyBorder="1" applyAlignment="1">
      <alignment horizontal="left" vertical="center"/>
    </xf>
    <xf numFmtId="188" fontId="75" fillId="0" borderId="13" xfId="0" applyNumberFormat="1" applyFont="1" applyFill="1" applyBorder="1" applyAlignment="1">
      <alignment horizontal="center" vertical="center"/>
    </xf>
    <xf numFmtId="164" fontId="78" fillId="0" borderId="13" xfId="0" applyFont="1" applyBorder="1" applyAlignment="1">
      <alignment horizontal="left" vertical="center" wrapText="1"/>
    </xf>
    <xf numFmtId="164" fontId="75" fillId="0" borderId="13" xfId="0" applyFont="1" applyBorder="1" applyAlignment="1">
      <alignment horizontal="left" vertical="center" wrapText="1" indent="1"/>
    </xf>
    <xf numFmtId="164" fontId="78" fillId="2" borderId="13" xfId="0" applyFont="1" applyFill="1" applyBorder="1" applyAlignment="1">
      <alignment horizontal="center" vertical="center"/>
    </xf>
    <xf numFmtId="164" fontId="78" fillId="2" borderId="13" xfId="0" applyFont="1" applyFill="1" applyBorder="1" applyAlignment="1">
      <alignment horizontal="justify" wrapText="1"/>
    </xf>
    <xf numFmtId="164" fontId="78" fillId="2" borderId="14" xfId="0" applyFont="1" applyFill="1" applyBorder="1" applyAlignment="1">
      <alignment horizontal="center"/>
    </xf>
    <xf numFmtId="164" fontId="75" fillId="2" borderId="13" xfId="0" applyFont="1" applyFill="1" applyBorder="1" applyAlignment="1">
      <alignment horizontal="center" vertical="center"/>
    </xf>
    <xf numFmtId="164" fontId="75" fillId="0" borderId="13" xfId="0" applyFont="1" applyBorder="1" applyAlignment="1">
      <alignment horizontal="justify" wrapText="1"/>
    </xf>
    <xf numFmtId="164" fontId="78" fillId="0" borderId="13" xfId="0" applyFont="1" applyBorder="1" applyAlignment="1">
      <alignment horizontal="justify" wrapText="1"/>
    </xf>
    <xf numFmtId="164" fontId="78" fillId="0" borderId="14" xfId="0" applyFont="1" applyBorder="1" applyAlignment="1">
      <alignment horizontal="center"/>
    </xf>
    <xf numFmtId="164" fontId="75" fillId="0" borderId="13" xfId="0" applyFont="1" applyBorder="1" applyAlignment="1">
      <alignment horizontal="left" wrapText="1" indent="1"/>
    </xf>
    <xf numFmtId="164" fontId="75" fillId="0" borderId="14" xfId="0" applyFont="1" applyBorder="1" applyAlignment="1">
      <alignment horizontal="center"/>
    </xf>
    <xf numFmtId="164" fontId="75" fillId="0" borderId="13" xfId="0" applyFont="1" applyBorder="1" applyAlignment="1">
      <alignment horizontal="left" wrapText="1" indent="2"/>
    </xf>
    <xf numFmtId="164" fontId="78" fillId="0" borderId="13" xfId="0" applyFont="1" applyBorder="1" applyAlignment="1">
      <alignment horizontal="left" wrapText="1" indent="1"/>
    </xf>
    <xf numFmtId="202" fontId="75" fillId="0" borderId="13" xfId="0" applyNumberFormat="1" applyFont="1" applyFill="1" applyBorder="1" applyAlignment="1">
      <alignment horizontal="center" vertical="center"/>
    </xf>
    <xf numFmtId="188" fontId="75" fillId="0" borderId="0" xfId="0" applyNumberFormat="1" applyFont="1" applyAlignment="1">
      <alignment/>
    </xf>
    <xf numFmtId="164" fontId="82" fillId="0" borderId="0" xfId="0" applyFont="1" applyBorder="1" applyAlignment="1">
      <alignment horizontal="justify"/>
    </xf>
    <xf numFmtId="164" fontId="75" fillId="0" borderId="19" xfId="0" applyFont="1" applyBorder="1" applyAlignment="1">
      <alignment/>
    </xf>
    <xf numFmtId="164" fontId="82" fillId="0" borderId="0" xfId="0" applyFont="1" applyBorder="1" applyAlignment="1">
      <alignment horizontal="justify" vertical="top" wrapText="1"/>
    </xf>
    <xf numFmtId="164" fontId="0" fillId="0" borderId="0" xfId="0" applyAlignment="1">
      <alignment horizontal="center"/>
    </xf>
    <xf numFmtId="164" fontId="78" fillId="0" borderId="0" xfId="1311" applyFont="1" applyFill="1" applyBorder="1" applyAlignment="1" applyProtection="1">
      <alignment horizontal="center" vertical="center" wrapText="1"/>
      <protection/>
    </xf>
    <xf numFmtId="164" fontId="60" fillId="0" borderId="0" xfId="1297" applyFont="1" applyFill="1" applyBorder="1" applyAlignment="1" applyProtection="1">
      <alignment vertical="center"/>
      <protection/>
    </xf>
    <xf numFmtId="189" fontId="78" fillId="0" borderId="0" xfId="1297" applyNumberFormat="1" applyFont="1" applyFill="1" applyBorder="1" applyAlignment="1" applyProtection="1">
      <alignment horizontal="right" vertical="center" wrapText="1"/>
      <protection/>
    </xf>
    <xf numFmtId="164" fontId="78" fillId="0" borderId="0" xfId="1297" applyFont="1" applyFill="1" applyBorder="1" applyAlignment="1" applyProtection="1">
      <alignment vertical="center" wrapText="1"/>
      <protection/>
    </xf>
    <xf numFmtId="189" fontId="78" fillId="0" borderId="0" xfId="1297" applyNumberFormat="1" applyFont="1" applyFill="1" applyBorder="1" applyAlignment="1" applyProtection="1">
      <alignment horizontal="center" vertical="center" wrapText="1"/>
      <protection/>
    </xf>
    <xf numFmtId="164" fontId="78" fillId="0" borderId="0" xfId="1297" applyFont="1" applyFill="1" applyBorder="1" applyAlignment="1" applyProtection="1">
      <alignment horizontal="center" vertical="center" wrapText="1"/>
      <protection/>
    </xf>
    <xf numFmtId="164" fontId="75" fillId="0" borderId="13" xfId="1297" applyFont="1" applyFill="1" applyBorder="1" applyAlignment="1" applyProtection="1">
      <alignment horizontal="center" vertical="center" wrapText="1"/>
      <protection/>
    </xf>
    <xf numFmtId="164" fontId="71" fillId="0" borderId="13" xfId="1297" applyFont="1" applyFill="1" applyBorder="1" applyAlignment="1" applyProtection="1">
      <alignment horizontal="center" vertical="top" wrapText="1"/>
      <protection/>
    </xf>
    <xf numFmtId="164" fontId="71" fillId="0" borderId="13" xfId="1297" applyFont="1" applyFill="1" applyBorder="1" applyAlignment="1" applyProtection="1">
      <alignment vertical="top" wrapText="1"/>
      <protection/>
    </xf>
    <xf numFmtId="188" fontId="71" fillId="0" borderId="13" xfId="1297" applyNumberFormat="1" applyFont="1" applyFill="1" applyBorder="1" applyAlignment="1" applyProtection="1">
      <alignment horizontal="center" vertical="top" wrapText="1"/>
      <protection/>
    </xf>
    <xf numFmtId="189" fontId="75" fillId="0" borderId="13" xfId="1297" applyNumberFormat="1" applyFont="1" applyFill="1" applyBorder="1" applyAlignment="1" applyProtection="1">
      <alignment horizontal="center" vertical="center" wrapText="1"/>
      <protection/>
    </xf>
    <xf numFmtId="188" fontId="75" fillId="30" borderId="13" xfId="1297" applyNumberFormat="1" applyFont="1" applyFill="1" applyBorder="1" applyAlignment="1" applyProtection="1">
      <alignment horizontal="center" vertical="center" wrapText="1"/>
      <protection/>
    </xf>
    <xf numFmtId="188" fontId="75" fillId="30" borderId="13" xfId="1297" applyNumberFormat="1" applyFont="1" applyFill="1" applyBorder="1" applyAlignment="1" applyProtection="1">
      <alignment horizontal="center" vertical="center" wrapText="1"/>
      <protection locked="0"/>
    </xf>
    <xf numFmtId="164" fontId="75" fillId="30" borderId="13" xfId="1297" applyFont="1" applyFill="1" applyBorder="1" applyAlignment="1" applyProtection="1">
      <alignment horizontal="left" vertical="top" wrapText="1"/>
      <protection/>
    </xf>
    <xf numFmtId="188" fontId="75" fillId="30" borderId="13" xfId="1297" applyNumberFormat="1" applyFont="1" applyFill="1" applyBorder="1" applyAlignment="1" applyProtection="1">
      <alignment horizontal="center" vertical="center"/>
      <protection/>
    </xf>
    <xf numFmtId="164" fontId="75" fillId="30" borderId="13" xfId="1297" applyFont="1" applyFill="1" applyBorder="1" applyAlignment="1" applyProtection="1">
      <alignment horizontal="left" vertical="center" wrapText="1"/>
      <protection/>
    </xf>
    <xf numFmtId="189" fontId="78" fillId="0" borderId="13" xfId="1297" applyNumberFormat="1" applyFont="1" applyFill="1" applyBorder="1" applyAlignment="1" applyProtection="1">
      <alignment horizontal="center" vertical="center" wrapText="1"/>
      <protection/>
    </xf>
    <xf numFmtId="164" fontId="78" fillId="0" borderId="13" xfId="1297" applyFont="1" applyFill="1" applyBorder="1" applyAlignment="1" applyProtection="1">
      <alignment horizontal="left" vertical="center" wrapText="1"/>
      <protection/>
    </xf>
    <xf numFmtId="188" fontId="78" fillId="30" borderId="13" xfId="1297" applyNumberFormat="1" applyFont="1" applyFill="1" applyBorder="1" applyAlignment="1" applyProtection="1">
      <alignment horizontal="center" vertical="center" wrapText="1"/>
      <protection/>
    </xf>
    <xf numFmtId="164" fontId="75" fillId="0" borderId="13" xfId="1297" applyFont="1" applyFill="1" applyBorder="1" applyAlignment="1" applyProtection="1">
      <alignment horizontal="left" vertical="top" wrapText="1"/>
      <protection/>
    </xf>
    <xf numFmtId="164" fontId="75" fillId="0" borderId="13" xfId="1297" applyFont="1" applyFill="1" applyBorder="1" applyAlignment="1" applyProtection="1">
      <alignment horizontal="left" vertical="top" wrapText="1" indent="2"/>
      <protection/>
    </xf>
    <xf numFmtId="164" fontId="0" fillId="0" borderId="13" xfId="0" applyBorder="1" applyAlignment="1">
      <alignment horizontal="center"/>
    </xf>
    <xf numFmtId="164" fontId="75" fillId="0" borderId="13" xfId="0" applyFont="1" applyFill="1" applyBorder="1" applyAlignment="1">
      <alignment horizontal="left" vertical="center" wrapText="1" indent="2"/>
    </xf>
    <xf numFmtId="177" fontId="75" fillId="30" borderId="13" xfId="1297" applyNumberFormat="1" applyFont="1" applyFill="1" applyBorder="1" applyAlignment="1" applyProtection="1">
      <alignment horizontal="left" vertical="center" wrapText="1"/>
      <protection/>
    </xf>
    <xf numFmtId="164" fontId="75" fillId="30" borderId="13" xfId="1297" applyFont="1" applyFill="1" applyBorder="1" applyAlignment="1" applyProtection="1">
      <alignment horizontal="left" vertical="top" wrapText="1" indent="1"/>
      <protection/>
    </xf>
    <xf numFmtId="177" fontId="78" fillId="30" borderId="13" xfId="1297" applyNumberFormat="1" applyFont="1" applyFill="1" applyBorder="1" applyAlignment="1" applyProtection="1">
      <alignment horizontal="left" vertical="center" wrapText="1"/>
      <protection/>
    </xf>
    <xf numFmtId="188" fontId="78" fillId="30" borderId="13" xfId="1297" applyNumberFormat="1" applyFont="1" applyFill="1" applyBorder="1" applyAlignment="1" applyProtection="1">
      <alignment horizontal="center" vertical="center" wrapText="1"/>
      <protection locked="0"/>
    </xf>
    <xf numFmtId="164" fontId="75" fillId="0" borderId="0" xfId="1297" applyFont="1" applyFill="1" applyBorder="1" applyProtection="1">
      <alignment/>
      <protection/>
    </xf>
    <xf numFmtId="164" fontId="75" fillId="0" borderId="0" xfId="1297" applyFont="1" applyFill="1" applyBorder="1" applyAlignment="1" applyProtection="1">
      <alignment horizontal="center"/>
      <protection/>
    </xf>
    <xf numFmtId="164" fontId="83" fillId="0" borderId="0" xfId="1297" applyFont="1" applyFill="1" applyBorder="1" applyAlignment="1" applyProtection="1">
      <alignment horizontal="center" vertical="top"/>
      <protection/>
    </xf>
    <xf numFmtId="164" fontId="84" fillId="0" borderId="0" xfId="1297" applyFont="1" applyFill="1" applyBorder="1" applyAlignment="1" applyProtection="1">
      <alignment vertical="center"/>
      <protection/>
    </xf>
    <xf numFmtId="165" fontId="78" fillId="0" borderId="13" xfId="19" applyNumberFormat="1" applyFont="1" applyFill="1" applyBorder="1" applyAlignment="1" applyProtection="1">
      <alignment horizontal="center" vertical="center" wrapText="1"/>
      <protection/>
    </xf>
    <xf numFmtId="164" fontId="85" fillId="0" borderId="13" xfId="1297" applyFont="1" applyFill="1" applyBorder="1" applyAlignment="1" applyProtection="1">
      <alignment horizontal="center" vertical="top" wrapText="1"/>
      <protection/>
    </xf>
    <xf numFmtId="177" fontId="53" fillId="0" borderId="0" xfId="0" applyNumberFormat="1" applyFont="1" applyAlignment="1">
      <alignment horizontal="center"/>
    </xf>
    <xf numFmtId="177" fontId="53" fillId="0" borderId="0" xfId="0" applyNumberFormat="1" applyFont="1" applyAlignment="1">
      <alignment/>
    </xf>
    <xf numFmtId="177" fontId="53" fillId="0" borderId="0" xfId="0" applyNumberFormat="1" applyFont="1" applyFill="1" applyAlignment="1">
      <alignment/>
    </xf>
    <xf numFmtId="177" fontId="61" fillId="0" borderId="0" xfId="0" applyNumberFormat="1" applyFont="1" applyFill="1" applyBorder="1" applyAlignment="1">
      <alignment horizontal="center" wrapText="1"/>
    </xf>
    <xf numFmtId="177" fontId="77" fillId="0" borderId="0" xfId="0" applyNumberFormat="1" applyFont="1" applyAlignment="1">
      <alignment horizontal="right"/>
    </xf>
    <xf numFmtId="177" fontId="53" fillId="0" borderId="0" xfId="0" applyNumberFormat="1" applyFont="1" applyAlignment="1">
      <alignment horizontal="right"/>
    </xf>
    <xf numFmtId="164" fontId="53" fillId="0" borderId="13" xfId="0" applyNumberFormat="1" applyFont="1" applyBorder="1" applyAlignment="1">
      <alignment horizontal="center"/>
    </xf>
    <xf numFmtId="177" fontId="86" fillId="0" borderId="0" xfId="0" applyNumberFormat="1" applyFont="1" applyFill="1" applyAlignment="1">
      <alignment/>
    </xf>
    <xf numFmtId="177" fontId="86" fillId="0" borderId="0" xfId="0" applyNumberFormat="1" applyFont="1" applyAlignment="1">
      <alignment/>
    </xf>
    <xf numFmtId="177" fontId="53" fillId="0" borderId="0" xfId="0" applyNumberFormat="1" applyFont="1" applyAlignment="1">
      <alignment/>
    </xf>
    <xf numFmtId="177" fontId="59" fillId="0" borderId="0" xfId="0" applyNumberFormat="1" applyFont="1" applyAlignment="1">
      <alignment/>
    </xf>
    <xf numFmtId="177" fontId="53" fillId="0" borderId="13" xfId="0" applyNumberFormat="1" applyFont="1" applyBorder="1" applyAlignment="1">
      <alignment horizontal="center" wrapText="1"/>
    </xf>
    <xf numFmtId="176" fontId="53" fillId="0" borderId="13" xfId="0" applyNumberFormat="1" applyFont="1" applyBorder="1" applyAlignment="1">
      <alignment/>
    </xf>
    <xf numFmtId="202" fontId="53" fillId="0" borderId="13" xfId="0" applyNumberFormat="1" applyFont="1" applyFill="1" applyBorder="1" applyAlignment="1">
      <alignment horizontal="center" wrapText="1"/>
    </xf>
    <xf numFmtId="177" fontId="53" fillId="0" borderId="13" xfId="0" applyNumberFormat="1" applyFont="1" applyFill="1" applyBorder="1" applyAlignment="1">
      <alignment horizontal="center"/>
    </xf>
    <xf numFmtId="177" fontId="53" fillId="0" borderId="13" xfId="0" applyNumberFormat="1" applyFont="1" applyBorder="1" applyAlignment="1">
      <alignment/>
    </xf>
    <xf numFmtId="177" fontId="53" fillId="0" borderId="15" xfId="0" applyNumberFormat="1" applyFont="1" applyBorder="1" applyAlignment="1">
      <alignment/>
    </xf>
    <xf numFmtId="177" fontId="53" fillId="0" borderId="13" xfId="0" applyNumberFormat="1" applyFont="1" applyBorder="1" applyAlignment="1">
      <alignment horizontal="center" vertical="center" wrapText="1"/>
    </xf>
    <xf numFmtId="177" fontId="53" fillId="0" borderId="14" xfId="0" applyNumberFormat="1" applyFont="1" applyBorder="1" applyAlignment="1">
      <alignment horizontal="center" vertical="center" wrapText="1"/>
    </xf>
    <xf numFmtId="177" fontId="53" fillId="0" borderId="15" xfId="0" applyNumberFormat="1" applyFont="1" applyBorder="1" applyAlignment="1">
      <alignment horizontal="center"/>
    </xf>
    <xf numFmtId="177" fontId="53" fillId="0" borderId="15" xfId="0" applyNumberFormat="1" applyFont="1" applyFill="1" applyBorder="1" applyAlignment="1">
      <alignment horizontal="center"/>
    </xf>
    <xf numFmtId="177" fontId="53" fillId="0" borderId="18" xfId="0" applyNumberFormat="1" applyFont="1" applyBorder="1" applyAlignment="1">
      <alignment/>
    </xf>
    <xf numFmtId="202" fontId="53" fillId="0" borderId="18" xfId="0" applyNumberFormat="1" applyFont="1" applyBorder="1" applyAlignment="1">
      <alignment horizontal="center"/>
    </xf>
    <xf numFmtId="177" fontId="53" fillId="0" borderId="18" xfId="0" applyNumberFormat="1" applyFont="1" applyFill="1" applyBorder="1" applyAlignment="1">
      <alignment horizontal="center"/>
    </xf>
    <xf numFmtId="177" fontId="53" fillId="0" borderId="17" xfId="0" applyNumberFormat="1" applyFont="1" applyBorder="1" applyAlignment="1">
      <alignment/>
    </xf>
    <xf numFmtId="177" fontId="53" fillId="0" borderId="17" xfId="0" applyNumberFormat="1" applyFont="1" applyBorder="1" applyAlignment="1">
      <alignment horizontal="center"/>
    </xf>
    <xf numFmtId="177" fontId="53" fillId="0" borderId="17" xfId="0" applyNumberFormat="1" applyFont="1" applyFill="1" applyBorder="1" applyAlignment="1">
      <alignment horizontal="center"/>
    </xf>
    <xf numFmtId="177" fontId="53" fillId="0" borderId="17" xfId="0" applyNumberFormat="1" applyFont="1" applyBorder="1" applyAlignment="1">
      <alignment horizontal="center" vertical="center"/>
    </xf>
    <xf numFmtId="164" fontId="53" fillId="0" borderId="13" xfId="0" applyNumberFormat="1" applyFont="1" applyFill="1" applyBorder="1" applyAlignment="1">
      <alignment horizontal="center"/>
    </xf>
    <xf numFmtId="164" fontId="53" fillId="0" borderId="22" xfId="0" applyNumberFormat="1" applyFont="1" applyBorder="1" applyAlignment="1">
      <alignment/>
    </xf>
    <xf numFmtId="164" fontId="53" fillId="0" borderId="15" xfId="0" applyNumberFormat="1" applyFont="1" applyBorder="1" applyAlignment="1">
      <alignment/>
    </xf>
    <xf numFmtId="177" fontId="53" fillId="0" borderId="24" xfId="0" applyNumberFormat="1" applyFont="1" applyBorder="1" applyAlignment="1">
      <alignment/>
    </xf>
    <xf numFmtId="177" fontId="53" fillId="0" borderId="18" xfId="0" applyNumberFormat="1" applyFont="1" applyBorder="1" applyAlignment="1">
      <alignment horizontal="center"/>
    </xf>
    <xf numFmtId="177" fontId="62" fillId="0" borderId="18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164" fontId="53" fillId="0" borderId="18" xfId="0" applyNumberFormat="1" applyFont="1" applyBorder="1" applyAlignment="1">
      <alignment/>
    </xf>
    <xf numFmtId="177" fontId="53" fillId="0" borderId="25" xfId="0" applyNumberFormat="1" applyFont="1" applyBorder="1" applyAlignment="1">
      <alignment/>
    </xf>
    <xf numFmtId="202" fontId="53" fillId="0" borderId="18" xfId="0" applyNumberFormat="1" applyFont="1" applyBorder="1" applyAlignment="1">
      <alignment/>
    </xf>
    <xf numFmtId="164" fontId="53" fillId="0" borderId="25" xfId="0" applyNumberFormat="1" applyFont="1" applyBorder="1" applyAlignment="1">
      <alignment/>
    </xf>
    <xf numFmtId="177" fontId="62" fillId="0" borderId="13" xfId="0" applyNumberFormat="1" applyFont="1" applyBorder="1" applyAlignment="1">
      <alignment horizontal="center"/>
    </xf>
    <xf numFmtId="177" fontId="62" fillId="0" borderId="13" xfId="0" applyNumberFormat="1" applyFont="1" applyBorder="1" applyAlignment="1">
      <alignment/>
    </xf>
    <xf numFmtId="164" fontId="62" fillId="0" borderId="13" xfId="0" applyNumberFormat="1" applyFont="1" applyFill="1" applyBorder="1" applyAlignment="1">
      <alignment/>
    </xf>
    <xf numFmtId="177" fontId="62" fillId="0" borderId="13" xfId="0" applyNumberFormat="1" applyFont="1" applyFill="1" applyBorder="1" applyAlignment="1">
      <alignment/>
    </xf>
    <xf numFmtId="202" fontId="62" fillId="0" borderId="13" xfId="0" applyNumberFormat="1" applyFont="1" applyFill="1" applyBorder="1" applyAlignment="1">
      <alignment/>
    </xf>
    <xf numFmtId="164" fontId="62" fillId="0" borderId="13" xfId="0" applyNumberFormat="1" applyFont="1" applyBorder="1" applyAlignment="1">
      <alignment/>
    </xf>
    <xf numFmtId="177" fontId="62" fillId="0" borderId="0" xfId="0" applyNumberFormat="1" applyFont="1" applyAlignment="1">
      <alignment/>
    </xf>
    <xf numFmtId="164" fontId="53" fillId="0" borderId="0" xfId="0" applyNumberFormat="1" applyFont="1" applyFill="1" applyBorder="1" applyAlignment="1">
      <alignment/>
    </xf>
    <xf numFmtId="164" fontId="53" fillId="0" borderId="18" xfId="0" applyNumberFormat="1" applyFont="1" applyFill="1" applyBorder="1" applyAlignment="1">
      <alignment/>
    </xf>
    <xf numFmtId="177" fontId="53" fillId="0" borderId="25" xfId="0" applyNumberFormat="1" applyFont="1" applyFill="1" applyBorder="1" applyAlignment="1">
      <alignment/>
    </xf>
    <xf numFmtId="177" fontId="62" fillId="0" borderId="18" xfId="0" applyNumberFormat="1" applyFont="1" applyBorder="1" applyAlignment="1">
      <alignment horizontal="center"/>
    </xf>
    <xf numFmtId="164" fontId="62" fillId="0" borderId="0" xfId="0" applyNumberFormat="1" applyFont="1" applyFill="1" applyBorder="1" applyAlignment="1">
      <alignment/>
    </xf>
    <xf numFmtId="164" fontId="62" fillId="0" borderId="18" xfId="0" applyNumberFormat="1" applyFont="1" applyFill="1" applyBorder="1" applyAlignment="1">
      <alignment/>
    </xf>
    <xf numFmtId="177" fontId="62" fillId="0" borderId="25" xfId="0" applyNumberFormat="1" applyFont="1" applyFill="1" applyBorder="1" applyAlignment="1">
      <alignment/>
    </xf>
    <xf numFmtId="177" fontId="62" fillId="0" borderId="25" xfId="0" applyNumberFormat="1" applyFont="1" applyBorder="1" applyAlignment="1">
      <alignment/>
    </xf>
    <xf numFmtId="202" fontId="62" fillId="0" borderId="18" xfId="0" applyNumberFormat="1" applyFont="1" applyFill="1" applyBorder="1" applyAlignment="1">
      <alignment/>
    </xf>
    <xf numFmtId="164" fontId="62" fillId="0" borderId="25" xfId="0" applyNumberFormat="1" applyFont="1" applyBorder="1" applyAlignment="1">
      <alignment/>
    </xf>
    <xf numFmtId="164" fontId="62" fillId="0" borderId="25" xfId="0" applyNumberFormat="1" applyFont="1" applyFill="1" applyBorder="1" applyAlignment="1">
      <alignment/>
    </xf>
    <xf numFmtId="202" fontId="62" fillId="0" borderId="25" xfId="0" applyNumberFormat="1" applyFont="1" applyFill="1" applyBorder="1" applyAlignment="1">
      <alignment/>
    </xf>
    <xf numFmtId="177" fontId="62" fillId="0" borderId="18" xfId="0" applyNumberFormat="1" applyFont="1" applyBorder="1" applyAlignment="1">
      <alignment wrapText="1"/>
    </xf>
    <xf numFmtId="164" fontId="53" fillId="0" borderId="25" xfId="0" applyNumberFormat="1" applyFont="1" applyFill="1" applyBorder="1" applyAlignment="1">
      <alignment/>
    </xf>
    <xf numFmtId="164" fontId="53" fillId="0" borderId="23" xfId="0" applyNumberFormat="1" applyFont="1" applyBorder="1" applyAlignment="1">
      <alignment/>
    </xf>
    <xf numFmtId="177" fontId="53" fillId="0" borderId="18" xfId="0" applyNumberFormat="1" applyFont="1" applyBorder="1" applyAlignment="1">
      <alignment wrapText="1"/>
    </xf>
    <xf numFmtId="177" fontId="62" fillId="0" borderId="13" xfId="0" applyNumberFormat="1" applyFont="1" applyBorder="1" applyAlignment="1">
      <alignment wrapText="1"/>
    </xf>
    <xf numFmtId="164" fontId="62" fillId="0" borderId="14" xfId="0" applyNumberFormat="1" applyFont="1" applyFill="1" applyBorder="1" applyAlignment="1">
      <alignment/>
    </xf>
    <xf numFmtId="177" fontId="62" fillId="0" borderId="20" xfId="0" applyNumberFormat="1" applyFont="1" applyFill="1" applyBorder="1" applyAlignment="1">
      <alignment/>
    </xf>
    <xf numFmtId="177" fontId="62" fillId="0" borderId="20" xfId="0" applyNumberFormat="1" applyFont="1" applyBorder="1" applyAlignment="1">
      <alignment/>
    </xf>
    <xf numFmtId="202" fontId="62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203" fontId="62" fillId="0" borderId="0" xfId="1433" applyNumberFormat="1" applyFont="1" applyFill="1" applyBorder="1" applyAlignment="1" applyProtection="1">
      <alignment/>
      <protection/>
    </xf>
    <xf numFmtId="202" fontId="62" fillId="0" borderId="18" xfId="0" applyNumberFormat="1" applyFont="1" applyBorder="1" applyAlignment="1">
      <alignment/>
    </xf>
    <xf numFmtId="177" fontId="62" fillId="0" borderId="18" xfId="0" applyNumberFormat="1" applyFont="1" applyBorder="1" applyAlignment="1">
      <alignment horizontal="left"/>
    </xf>
    <xf numFmtId="164" fontId="62" fillId="0" borderId="21" xfId="0" applyNumberFormat="1" applyFont="1" applyFill="1" applyBorder="1" applyAlignment="1">
      <alignment/>
    </xf>
    <xf numFmtId="202" fontId="62" fillId="0" borderId="13" xfId="0" applyNumberFormat="1" applyFont="1" applyBorder="1" applyAlignment="1">
      <alignment/>
    </xf>
    <xf numFmtId="164" fontId="62" fillId="0" borderId="20" xfId="0" applyNumberFormat="1" applyFont="1" applyFill="1" applyBorder="1" applyAlignment="1">
      <alignment/>
    </xf>
    <xf numFmtId="177" fontId="62" fillId="0" borderId="14" xfId="0" applyNumberFormat="1" applyFont="1" applyBorder="1" applyAlignment="1">
      <alignment horizontal="center"/>
    </xf>
    <xf numFmtId="177" fontId="62" fillId="0" borderId="14" xfId="0" applyNumberFormat="1" applyFont="1" applyBorder="1" applyAlignment="1">
      <alignment/>
    </xf>
    <xf numFmtId="164" fontId="62" fillId="0" borderId="14" xfId="0" applyNumberFormat="1" applyFont="1" applyBorder="1" applyAlignment="1">
      <alignment/>
    </xf>
    <xf numFmtId="202" fontId="62" fillId="0" borderId="14" xfId="0" applyNumberFormat="1" applyFont="1" applyBorder="1" applyAlignment="1">
      <alignment/>
    </xf>
    <xf numFmtId="177" fontId="53" fillId="0" borderId="0" xfId="0" applyNumberFormat="1" applyFont="1" applyBorder="1" applyAlignment="1">
      <alignment horizontal="center"/>
    </xf>
    <xf numFmtId="177" fontId="62" fillId="0" borderId="0" xfId="0" applyNumberFormat="1" applyFont="1" applyBorder="1" applyAlignment="1">
      <alignment horizontal="left" indent="3"/>
    </xf>
    <xf numFmtId="177" fontId="62" fillId="0" borderId="0" xfId="0" applyNumberFormat="1" applyFont="1" applyBorder="1" applyAlignment="1">
      <alignment/>
    </xf>
    <xf numFmtId="177" fontId="53" fillId="0" borderId="0" xfId="0" applyNumberFormat="1" applyFont="1" applyBorder="1" applyAlignment="1">
      <alignment/>
    </xf>
    <xf numFmtId="177" fontId="53" fillId="0" borderId="0" xfId="0" applyNumberFormat="1" applyFont="1" applyFill="1" applyBorder="1" applyAlignment="1">
      <alignment/>
    </xf>
    <xf numFmtId="164" fontId="72" fillId="0" borderId="0" xfId="0" applyFont="1" applyAlignment="1">
      <alignment/>
    </xf>
    <xf numFmtId="164" fontId="72" fillId="0" borderId="0" xfId="0" applyFont="1" applyBorder="1" applyAlignment="1">
      <alignment/>
    </xf>
    <xf numFmtId="164" fontId="87" fillId="0" borderId="0" xfId="0" applyFont="1" applyAlignment="1">
      <alignment/>
    </xf>
    <xf numFmtId="164" fontId="78" fillId="0" borderId="0" xfId="0" applyFont="1" applyBorder="1" applyAlignment="1">
      <alignment horizontal="center" vertical="center" wrapText="1"/>
    </xf>
    <xf numFmtId="177" fontId="84" fillId="0" borderId="0" xfId="0" applyNumberFormat="1" applyFont="1" applyAlignment="1">
      <alignment/>
    </xf>
    <xf numFmtId="164" fontId="84" fillId="0" borderId="0" xfId="0" applyFont="1" applyAlignment="1">
      <alignment horizontal="center"/>
    </xf>
    <xf numFmtId="164" fontId="88" fillId="0" borderId="0" xfId="0" applyFont="1" applyAlignment="1">
      <alignment horizontal="center"/>
    </xf>
    <xf numFmtId="164" fontId="75" fillId="0" borderId="15" xfId="0" applyFont="1" applyBorder="1" applyAlignment="1">
      <alignment vertical="center"/>
    </xf>
    <xf numFmtId="164" fontId="75" fillId="0" borderId="15" xfId="0" applyFont="1" applyBorder="1" applyAlignment="1">
      <alignment/>
    </xf>
    <xf numFmtId="164" fontId="75" fillId="0" borderId="15" xfId="0" applyFont="1" applyBorder="1" applyAlignment="1">
      <alignment horizontal="center" vertical="center" wrapText="1"/>
    </xf>
    <xf numFmtId="164" fontId="75" fillId="0" borderId="0" xfId="0" applyFont="1" applyBorder="1" applyAlignment="1">
      <alignment horizontal="center" vertical="center" wrapText="1"/>
    </xf>
    <xf numFmtId="164" fontId="75" fillId="0" borderId="18" xfId="0" applyFont="1" applyBorder="1" applyAlignment="1">
      <alignment vertical="center"/>
    </xf>
    <xf numFmtId="164" fontId="75" fillId="0" borderId="18" xfId="0" applyFont="1" applyBorder="1" applyAlignment="1">
      <alignment horizontal="center" vertical="center" wrapText="1"/>
    </xf>
    <xf numFmtId="164" fontId="75" fillId="0" borderId="18" xfId="0" applyFont="1" applyBorder="1" applyAlignment="1">
      <alignment horizontal="center" vertical="center"/>
    </xf>
    <xf numFmtId="164" fontId="75" fillId="0" borderId="17" xfId="0" applyFont="1" applyBorder="1" applyAlignment="1">
      <alignment vertical="center"/>
    </xf>
    <xf numFmtId="164" fontId="75" fillId="0" borderId="17" xfId="0" applyFont="1" applyBorder="1" applyAlignment="1">
      <alignment horizontal="center" vertical="center" wrapText="1"/>
    </xf>
    <xf numFmtId="164" fontId="75" fillId="0" borderId="21" xfId="0" applyFont="1" applyBorder="1" applyAlignment="1">
      <alignment horizontal="left" vertical="center" wrapText="1"/>
    </xf>
    <xf numFmtId="190" fontId="75" fillId="0" borderId="13" xfId="19" applyFont="1" applyFill="1" applyBorder="1" applyAlignment="1" applyProtection="1">
      <alignment horizontal="center" vertical="center"/>
      <protection/>
    </xf>
    <xf numFmtId="204" fontId="75" fillId="0" borderId="13" xfId="0" applyNumberFormat="1" applyFont="1" applyBorder="1" applyAlignment="1">
      <alignment horizontal="center" vertical="center"/>
    </xf>
    <xf numFmtId="204" fontId="75" fillId="0" borderId="0" xfId="0" applyNumberFormat="1" applyFont="1" applyBorder="1" applyAlignment="1">
      <alignment horizontal="center" vertical="center"/>
    </xf>
    <xf numFmtId="164" fontId="75" fillId="0" borderId="0" xfId="0" applyFont="1" applyBorder="1" applyAlignment="1">
      <alignment horizontal="left" vertical="center" wrapText="1"/>
    </xf>
    <xf numFmtId="164" fontId="75" fillId="0" borderId="0" xfId="0" applyFont="1" applyAlignment="1">
      <alignment vertical="center"/>
    </xf>
    <xf numFmtId="164" fontId="75" fillId="0" borderId="0" xfId="0" applyFont="1" applyAlignment="1">
      <alignment horizontal="center"/>
    </xf>
    <xf numFmtId="164" fontId="87" fillId="0" borderId="0" xfId="0" applyFont="1" applyAlignment="1">
      <alignment horizontal="center"/>
    </xf>
    <xf numFmtId="164" fontId="61" fillId="0" borderId="0" xfId="0" applyFont="1" applyAlignment="1">
      <alignment/>
    </xf>
    <xf numFmtId="177" fontId="60" fillId="0" borderId="0" xfId="0" applyNumberFormat="1" applyFont="1" applyAlignment="1">
      <alignment/>
    </xf>
    <xf numFmtId="164" fontId="62" fillId="0" borderId="0" xfId="0" applyFont="1" applyAlignment="1">
      <alignment/>
    </xf>
    <xf numFmtId="164" fontId="75" fillId="0" borderId="13" xfId="0" applyFont="1" applyBorder="1" applyAlignment="1">
      <alignment/>
    </xf>
    <xf numFmtId="177" fontId="75" fillId="0" borderId="13" xfId="0" applyNumberFormat="1" applyFont="1" applyBorder="1" applyAlignment="1">
      <alignment horizontal="center"/>
    </xf>
    <xf numFmtId="164" fontId="89" fillId="0" borderId="0" xfId="0" applyFont="1" applyAlignment="1">
      <alignment/>
    </xf>
    <xf numFmtId="164" fontId="75" fillId="0" borderId="13" xfId="0" applyFont="1" applyBorder="1" applyAlignment="1">
      <alignment horizontal="right"/>
    </xf>
    <xf numFmtId="165" fontId="75" fillId="0" borderId="13" xfId="1433" applyNumberFormat="1" applyFont="1" applyFill="1" applyBorder="1" applyAlignment="1" applyProtection="1">
      <alignment horizontal="center"/>
      <protection/>
    </xf>
    <xf numFmtId="164" fontId="83" fillId="0" borderId="13" xfId="0" applyFont="1" applyBorder="1" applyAlignment="1">
      <alignment/>
    </xf>
    <xf numFmtId="164" fontId="83" fillId="0" borderId="13" xfId="0" applyFont="1" applyBorder="1" applyAlignment="1">
      <alignment horizontal="right"/>
    </xf>
    <xf numFmtId="164" fontId="83" fillId="0" borderId="13" xfId="0" applyFont="1" applyBorder="1" applyAlignment="1">
      <alignment horizontal="center" vertical="center"/>
    </xf>
    <xf numFmtId="164" fontId="89" fillId="0" borderId="13" xfId="0" applyFont="1" applyBorder="1" applyAlignment="1">
      <alignment horizontal="center"/>
    </xf>
    <xf numFmtId="202" fontId="89" fillId="0" borderId="13" xfId="0" applyNumberFormat="1" applyFont="1" applyBorder="1" applyAlignment="1">
      <alignment horizontal="center"/>
    </xf>
    <xf numFmtId="164" fontId="62" fillId="0" borderId="0" xfId="0" applyFont="1" applyBorder="1" applyAlignment="1">
      <alignment horizontal="center"/>
    </xf>
    <xf numFmtId="164" fontId="62" fillId="0" borderId="0" xfId="0" applyFont="1" applyBorder="1" applyAlignment="1">
      <alignment horizontal="center" vertical="center"/>
    </xf>
    <xf numFmtId="164" fontId="53" fillId="0" borderId="0" xfId="0" applyFont="1" applyAlignment="1">
      <alignment horizontal="left"/>
    </xf>
    <xf numFmtId="164" fontId="78" fillId="30" borderId="13" xfId="0" applyFont="1" applyFill="1" applyBorder="1" applyAlignment="1">
      <alignment horizontal="left" vertical="center" wrapText="1"/>
    </xf>
    <xf numFmtId="205" fontId="75" fillId="0" borderId="13" xfId="0" applyNumberFormat="1" applyFont="1" applyFill="1" applyBorder="1" applyAlignment="1">
      <alignment horizontal="center" vertical="center"/>
    </xf>
    <xf numFmtId="206" fontId="75" fillId="0" borderId="13" xfId="0" applyNumberFormat="1" applyFont="1" applyFill="1" applyBorder="1" applyAlignment="1">
      <alignment horizontal="center" vertical="center"/>
    </xf>
    <xf numFmtId="206" fontId="0" fillId="0" borderId="0" xfId="0" applyNumberFormat="1" applyAlignment="1">
      <alignment/>
    </xf>
    <xf numFmtId="164" fontId="75" fillId="0" borderId="13" xfId="0" applyFont="1" applyBorder="1" applyAlignment="1">
      <alignment horizontal="justify" vertical="center" wrapText="1"/>
    </xf>
    <xf numFmtId="164" fontId="0" fillId="0" borderId="0" xfId="1305" applyAlignment="1">
      <alignment horizontal="center"/>
      <protection/>
    </xf>
    <xf numFmtId="202" fontId="0" fillId="0" borderId="0" xfId="1305" applyNumberFormat="1">
      <alignment/>
      <protection/>
    </xf>
    <xf numFmtId="177" fontId="0" fillId="0" borderId="0" xfId="1305" applyNumberFormat="1">
      <alignment/>
      <protection/>
    </xf>
    <xf numFmtId="164" fontId="90" fillId="0" borderId="0" xfId="0" applyFont="1" applyBorder="1" applyAlignment="1">
      <alignment horizontal="center" vertical="center" wrapText="1"/>
    </xf>
    <xf numFmtId="177" fontId="92" fillId="0" borderId="0" xfId="0" applyNumberFormat="1" applyFont="1" applyAlignment="1">
      <alignment horizontal="left" vertical="center"/>
    </xf>
    <xf numFmtId="164" fontId="91" fillId="0" borderId="0" xfId="0" applyFont="1" applyAlignment="1">
      <alignment horizontal="center" vertical="center" wrapText="1"/>
    </xf>
    <xf numFmtId="164" fontId="90" fillId="0" borderId="0" xfId="0" applyFont="1" applyAlignment="1">
      <alignment horizontal="center" vertical="center" wrapText="1"/>
    </xf>
    <xf numFmtId="164" fontId="78" fillId="0" borderId="0" xfId="0" applyFont="1" applyFill="1" applyAlignment="1">
      <alignment horizontal="right"/>
    </xf>
    <xf numFmtId="164" fontId="87" fillId="0" borderId="0" xfId="0" applyFont="1" applyFill="1" applyAlignment="1">
      <alignment/>
    </xf>
    <xf numFmtId="164" fontId="87" fillId="0" borderId="0" xfId="0" applyFont="1" applyFill="1" applyAlignment="1">
      <alignment horizontal="center"/>
    </xf>
    <xf numFmtId="202" fontId="87" fillId="0" borderId="0" xfId="0" applyNumberFormat="1" applyFont="1" applyFill="1" applyAlignment="1">
      <alignment/>
    </xf>
    <xf numFmtId="177" fontId="87" fillId="0" borderId="0" xfId="0" applyNumberFormat="1" applyFont="1" applyFill="1" applyAlignment="1">
      <alignment/>
    </xf>
    <xf numFmtId="202" fontId="53" fillId="0" borderId="13" xfId="0" applyNumberFormat="1" applyFont="1" applyBorder="1" applyAlignment="1">
      <alignment horizontal="center" vertical="center" wrapText="1"/>
    </xf>
    <xf numFmtId="164" fontId="59" fillId="0" borderId="14" xfId="0" applyFont="1" applyBorder="1" applyAlignment="1">
      <alignment horizontal="left" vertical="center" wrapText="1"/>
    </xf>
    <xf numFmtId="164" fontId="53" fillId="0" borderId="20" xfId="0" applyFont="1" applyBorder="1" applyAlignment="1">
      <alignment horizontal="center" vertical="center" wrapText="1"/>
    </xf>
    <xf numFmtId="164" fontId="53" fillId="0" borderId="0" xfId="0" applyFont="1" applyBorder="1" applyAlignment="1">
      <alignment horizontal="center" vertical="center" wrapText="1"/>
    </xf>
    <xf numFmtId="164" fontId="53" fillId="0" borderId="0" xfId="0" applyFont="1" applyFill="1" applyBorder="1" applyAlignment="1">
      <alignment horizontal="center" vertical="center" wrapText="1"/>
    </xf>
    <xf numFmtId="202" fontId="62" fillId="0" borderId="13" xfId="0" applyNumberFormat="1" applyFont="1" applyBorder="1" applyAlignment="1">
      <alignment horizontal="left" vertical="center" wrapText="1"/>
    </xf>
    <xf numFmtId="202" fontId="53" fillId="0" borderId="21" xfId="0" applyNumberFormat="1" applyFont="1" applyFill="1" applyBorder="1" applyAlignment="1">
      <alignment horizontal="left" vertical="center" wrapText="1"/>
    </xf>
    <xf numFmtId="164" fontId="93" fillId="0" borderId="13" xfId="0" applyFont="1" applyBorder="1" applyAlignment="1">
      <alignment horizontal="left"/>
    </xf>
    <xf numFmtId="164" fontId="93" fillId="0" borderId="13" xfId="0" applyFont="1" applyBorder="1" applyAlignment="1">
      <alignment horizontal="center"/>
    </xf>
    <xf numFmtId="164" fontId="93" fillId="0" borderId="13" xfId="0" applyFont="1" applyBorder="1" applyAlignment="1">
      <alignment horizontal="center" vertical="center"/>
    </xf>
    <xf numFmtId="176" fontId="93" fillId="0" borderId="13" xfId="0" applyNumberFormat="1" applyFont="1" applyBorder="1" applyAlignment="1">
      <alignment horizontal="center" vertical="center"/>
    </xf>
    <xf numFmtId="202" fontId="93" fillId="0" borderId="13" xfId="0" applyNumberFormat="1" applyFont="1" applyBorder="1" applyAlignment="1">
      <alignment horizontal="center" vertical="center"/>
    </xf>
    <xf numFmtId="200" fontId="53" fillId="0" borderId="13" xfId="0" applyNumberFormat="1" applyFont="1" applyBorder="1" applyAlignment="1">
      <alignment horizontal="center" vertical="center"/>
    </xf>
    <xf numFmtId="164" fontId="94" fillId="0" borderId="13" xfId="0" applyFont="1" applyBorder="1" applyAlignment="1">
      <alignment horizontal="center" vertical="center" wrapText="1"/>
    </xf>
    <xf numFmtId="202" fontId="62" fillId="0" borderId="13" xfId="0" applyNumberFormat="1" applyFont="1" applyBorder="1" applyAlignment="1">
      <alignment horizontal="center" vertical="center"/>
    </xf>
    <xf numFmtId="200" fontId="62" fillId="0" borderId="13" xfId="0" applyNumberFormat="1" applyFont="1" applyBorder="1" applyAlignment="1">
      <alignment horizontal="center" vertical="center"/>
    </xf>
    <xf numFmtId="164" fontId="53" fillId="0" borderId="13" xfId="0" applyFont="1" applyBorder="1" applyAlignment="1">
      <alignment horizontal="left" vertical="center" wrapText="1"/>
    </xf>
    <xf numFmtId="202" fontId="53" fillId="0" borderId="13" xfId="0" applyNumberFormat="1" applyFont="1" applyBorder="1" applyAlignment="1">
      <alignment horizontal="center" vertical="center"/>
    </xf>
    <xf numFmtId="164" fontId="53" fillId="0" borderId="0" xfId="0" applyFont="1" applyBorder="1" applyAlignment="1">
      <alignment horizontal="left" vertical="center" wrapText="1"/>
    </xf>
    <xf numFmtId="202" fontId="53" fillId="0" borderId="0" xfId="0" applyNumberFormat="1" applyFont="1" applyBorder="1" applyAlignment="1">
      <alignment horizontal="center" vertical="center" wrapText="1"/>
    </xf>
    <xf numFmtId="164" fontId="0" fillId="0" borderId="0" xfId="1305" applyFill="1">
      <alignment/>
      <protection/>
    </xf>
    <xf numFmtId="164" fontId="0" fillId="0" borderId="0" xfId="1305" applyFill="1" applyAlignment="1">
      <alignment horizontal="center"/>
      <protection/>
    </xf>
    <xf numFmtId="202" fontId="0" fillId="0" borderId="0" xfId="1305" applyNumberFormat="1" applyFill="1">
      <alignment/>
      <protection/>
    </xf>
    <xf numFmtId="177" fontId="0" fillId="0" borderId="0" xfId="1305" applyNumberFormat="1" applyFill="1">
      <alignment/>
      <protection/>
    </xf>
    <xf numFmtId="164" fontId="61" fillId="0" borderId="0" xfId="1305" applyFont="1" applyFill="1">
      <alignment/>
      <protection/>
    </xf>
    <xf numFmtId="164" fontId="61" fillId="0" borderId="0" xfId="1305" applyFont="1" applyFill="1" applyAlignment="1">
      <alignment horizontal="center"/>
      <protection/>
    </xf>
    <xf numFmtId="202" fontId="61" fillId="0" borderId="0" xfId="1305" applyNumberFormat="1" applyFont="1" applyFill="1">
      <alignment/>
      <protection/>
    </xf>
    <xf numFmtId="177" fontId="61" fillId="0" borderId="0" xfId="1305" applyNumberFormat="1" applyFont="1" applyFill="1">
      <alignment/>
      <protection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/>
    </xf>
    <xf numFmtId="164" fontId="95" fillId="0" borderId="0" xfId="0" applyFont="1" applyBorder="1" applyAlignment="1">
      <alignment horizontal="left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Border="1" applyAlignment="1">
      <alignment horizontal="center" vertical="center"/>
    </xf>
    <xf numFmtId="164" fontId="96" fillId="0" borderId="0" xfId="0" applyFont="1" applyBorder="1" applyAlignment="1">
      <alignment horizontal="left" vertical="center" wrapText="1"/>
    </xf>
    <xf numFmtId="164" fontId="93" fillId="0" borderId="13" xfId="0" applyFont="1" applyBorder="1" applyAlignment="1">
      <alignment horizontal="center" vertical="center" wrapText="1"/>
    </xf>
    <xf numFmtId="164" fontId="93" fillId="0" borderId="24" xfId="0" applyFont="1" applyBorder="1" applyAlignment="1">
      <alignment horizontal="center" vertical="center"/>
    </xf>
    <xf numFmtId="164" fontId="93" fillId="0" borderId="15" xfId="0" applyFont="1" applyBorder="1" applyAlignment="1">
      <alignment horizontal="center" vertical="center"/>
    </xf>
    <xf numFmtId="164" fontId="93" fillId="0" borderId="22" xfId="0" applyFont="1" applyBorder="1" applyAlignment="1">
      <alignment horizontal="center" vertical="center"/>
    </xf>
    <xf numFmtId="164" fontId="93" fillId="0" borderId="20" xfId="0" applyFont="1" applyBorder="1" applyAlignment="1">
      <alignment horizontal="center" vertical="center" wrapText="1"/>
    </xf>
    <xf numFmtId="164" fontId="97" fillId="0" borderId="14" xfId="0" applyFont="1" applyBorder="1" applyAlignment="1">
      <alignment vertical="center" wrapText="1"/>
    </xf>
    <xf numFmtId="164" fontId="97" fillId="0" borderId="21" xfId="0" applyFont="1" applyBorder="1" applyAlignment="1">
      <alignment vertical="center" wrapText="1"/>
    </xf>
    <xf numFmtId="164" fontId="97" fillId="0" borderId="20" xfId="0" applyFont="1" applyBorder="1" applyAlignment="1">
      <alignment vertical="center" wrapText="1"/>
    </xf>
    <xf numFmtId="164" fontId="93" fillId="7" borderId="15" xfId="0" applyFont="1" applyFill="1" applyBorder="1" applyAlignment="1">
      <alignment horizontal="left" vertical="center" wrapText="1"/>
    </xf>
    <xf numFmtId="202" fontId="53" fillId="7" borderId="13" xfId="0" applyNumberFormat="1" applyFont="1" applyFill="1" applyBorder="1" applyAlignment="1">
      <alignment horizontal="center" vertical="center" wrapText="1"/>
    </xf>
    <xf numFmtId="177" fontId="53" fillId="7" borderId="13" xfId="0" applyNumberFormat="1" applyFont="1" applyFill="1" applyBorder="1" applyAlignment="1">
      <alignment vertical="center" wrapText="1"/>
    </xf>
    <xf numFmtId="177" fontId="53" fillId="7" borderId="14" xfId="0" applyNumberFormat="1" applyFont="1" applyFill="1" applyBorder="1" applyAlignment="1">
      <alignment vertical="center" wrapText="1"/>
    </xf>
    <xf numFmtId="177" fontId="53" fillId="7" borderId="20" xfId="0" applyNumberFormat="1" applyFont="1" applyFill="1" applyBorder="1" applyAlignment="1">
      <alignment vertical="center" wrapText="1"/>
    </xf>
    <xf numFmtId="202" fontId="53" fillId="0" borderId="13" xfId="0" applyNumberFormat="1" applyFont="1" applyFill="1" applyBorder="1" applyAlignment="1">
      <alignment horizontal="left" vertical="center" wrapText="1"/>
    </xf>
    <xf numFmtId="202" fontId="61" fillId="0" borderId="21" xfId="0" applyNumberFormat="1" applyFont="1" applyFill="1" applyBorder="1" applyAlignment="1">
      <alignment horizontal="center" vertical="center" wrapText="1"/>
    </xf>
    <xf numFmtId="177" fontId="53" fillId="0" borderId="13" xfId="0" applyNumberFormat="1" applyFont="1" applyFill="1" applyBorder="1" applyAlignment="1">
      <alignment vertical="center" wrapText="1"/>
    </xf>
    <xf numFmtId="177" fontId="53" fillId="0" borderId="14" xfId="0" applyNumberFormat="1" applyFont="1" applyFill="1" applyBorder="1" applyAlignment="1">
      <alignment vertical="center" wrapText="1"/>
    </xf>
    <xf numFmtId="164" fontId="97" fillId="0" borderId="17" xfId="0" applyFont="1" applyBorder="1" applyAlignment="1">
      <alignment vertical="center" wrapText="1"/>
    </xf>
    <xf numFmtId="202" fontId="61" fillId="0" borderId="13" xfId="0" applyNumberFormat="1" applyFont="1" applyBorder="1" applyAlignment="1">
      <alignment horizontal="center" vertical="center" wrapText="1"/>
    </xf>
    <xf numFmtId="177" fontId="61" fillId="0" borderId="13" xfId="0" applyNumberFormat="1" applyFont="1" applyFill="1" applyBorder="1" applyAlignment="1">
      <alignment horizontal="center" vertical="center" wrapText="1"/>
    </xf>
    <xf numFmtId="164" fontId="67" fillId="0" borderId="0" xfId="0" applyFont="1" applyFill="1" applyBorder="1" applyAlignment="1">
      <alignment horizontal="center" vertical="center" wrapText="1"/>
    </xf>
    <xf numFmtId="164" fontId="66" fillId="0" borderId="0" xfId="0" applyFont="1" applyAlignment="1">
      <alignment vertical="center"/>
    </xf>
    <xf numFmtId="164" fontId="98" fillId="0" borderId="0" xfId="0" applyFont="1" applyAlignment="1">
      <alignment horizontal="center" vertical="center"/>
    </xf>
    <xf numFmtId="164" fontId="98" fillId="0" borderId="0" xfId="0" applyFont="1" applyAlignment="1">
      <alignment/>
    </xf>
    <xf numFmtId="164" fontId="96" fillId="0" borderId="0" xfId="0" applyFont="1" applyAlignment="1">
      <alignment vertical="center"/>
    </xf>
    <xf numFmtId="164" fontId="98" fillId="0" borderId="0" xfId="0" applyFont="1" applyBorder="1" applyAlignment="1">
      <alignment/>
    </xf>
    <xf numFmtId="164" fontId="86" fillId="0" borderId="0" xfId="0" applyNumberFormat="1" applyFont="1" applyBorder="1" applyAlignment="1">
      <alignment horizontal="center" vertical="center" wrapText="1"/>
    </xf>
    <xf numFmtId="177" fontId="99" fillId="0" borderId="0" xfId="0" applyNumberFormat="1" applyFont="1" applyBorder="1" applyAlignment="1">
      <alignment horizontal="right" wrapText="1"/>
    </xf>
    <xf numFmtId="164" fontId="86" fillId="0" borderId="0" xfId="0" applyFont="1" applyAlignment="1">
      <alignment wrapText="1"/>
    </xf>
    <xf numFmtId="164" fontId="86" fillId="0" borderId="0" xfId="0" applyFont="1" applyBorder="1" applyAlignment="1">
      <alignment horizontal="center" wrapText="1"/>
    </xf>
    <xf numFmtId="164" fontId="78" fillId="0" borderId="13" xfId="0" applyFont="1" applyBorder="1" applyAlignment="1">
      <alignment horizontal="center" vertical="center" wrapText="1"/>
    </xf>
    <xf numFmtId="164" fontId="78" fillId="0" borderId="13" xfId="0" applyFont="1" applyFill="1" applyBorder="1" applyAlignment="1">
      <alignment horizontal="center" vertical="center" wrapText="1"/>
    </xf>
    <xf numFmtId="202" fontId="75" fillId="0" borderId="13" xfId="0" applyNumberFormat="1" applyFont="1" applyBorder="1" applyAlignment="1">
      <alignment horizontal="center" vertical="center" wrapText="1"/>
    </xf>
    <xf numFmtId="177" fontId="75" fillId="0" borderId="13" xfId="0" applyNumberFormat="1" applyFont="1" applyBorder="1" applyAlignment="1">
      <alignment horizontal="center" vertical="center" wrapText="1"/>
    </xf>
    <xf numFmtId="176" fontId="75" fillId="0" borderId="13" xfId="0" applyNumberFormat="1" applyFont="1" applyBorder="1" applyAlignment="1">
      <alignment horizontal="center" vertical="center" wrapText="1"/>
    </xf>
    <xf numFmtId="177" fontId="75" fillId="0" borderId="13" xfId="0" applyNumberFormat="1" applyFont="1" applyFill="1" applyBorder="1" applyAlignment="1">
      <alignment horizontal="center" vertical="center" wrapText="1"/>
    </xf>
    <xf numFmtId="177" fontId="78" fillId="0" borderId="13" xfId="0" applyNumberFormat="1" applyFont="1" applyBorder="1" applyAlignment="1">
      <alignment horizontal="center" vertical="center" wrapText="1"/>
    </xf>
    <xf numFmtId="164" fontId="100" fillId="0" borderId="0" xfId="0" applyFont="1" applyAlignment="1">
      <alignment horizontal="center"/>
    </xf>
    <xf numFmtId="164" fontId="101" fillId="0" borderId="0" xfId="0" applyFont="1" applyFill="1" applyAlignment="1">
      <alignment horizontal="center"/>
    </xf>
    <xf numFmtId="164" fontId="101" fillId="0" borderId="0" xfId="0" applyFont="1" applyAlignment="1">
      <alignment horizontal="center"/>
    </xf>
    <xf numFmtId="164" fontId="53" fillId="0" borderId="0" xfId="0" applyFont="1" applyAlignment="1">
      <alignment horizontal="center" vertical="top"/>
    </xf>
    <xf numFmtId="164" fontId="59" fillId="30" borderId="0" xfId="1297" applyFont="1" applyFill="1" applyBorder="1" applyAlignment="1" applyProtection="1">
      <alignment horizontal="center" vertical="center"/>
      <protection/>
    </xf>
    <xf numFmtId="189" fontId="61" fillId="30" borderId="13" xfId="1308" applyFont="1" applyFill="1" applyBorder="1" applyAlignment="1" applyProtection="1">
      <alignment horizontal="left" vertical="center" wrapText="1"/>
      <protection/>
    </xf>
    <xf numFmtId="189" fontId="61" fillId="30" borderId="13" xfId="1308" applyFont="1" applyFill="1" applyBorder="1" applyAlignment="1" applyProtection="1">
      <alignment horizontal="center" vertical="center" wrapText="1"/>
      <protection/>
    </xf>
    <xf numFmtId="189" fontId="102" fillId="30" borderId="13" xfId="1308" applyFont="1" applyFill="1" applyBorder="1" applyAlignment="1" applyProtection="1">
      <alignment horizontal="center" vertical="center" wrapText="1"/>
      <protection/>
    </xf>
    <xf numFmtId="164" fontId="61" fillId="30" borderId="13" xfId="1095" applyFont="1" applyFill="1" applyBorder="1" applyAlignment="1" applyProtection="1">
      <alignment horizontal="left" vertical="center" wrapText="1"/>
      <protection/>
    </xf>
    <xf numFmtId="164" fontId="61" fillId="30" borderId="13" xfId="1095" applyFont="1" applyFill="1" applyBorder="1" applyAlignment="1" applyProtection="1">
      <alignment horizontal="center" vertical="center" wrapText="1"/>
      <protection/>
    </xf>
    <xf numFmtId="164" fontId="67" fillId="0" borderId="13" xfId="0" applyFont="1" applyBorder="1" applyAlignment="1">
      <alignment horizontal="center" vertical="center"/>
    </xf>
    <xf numFmtId="189" fontId="61" fillId="30" borderId="13" xfId="1308" applyFont="1" applyFill="1" applyBorder="1" applyAlignment="1" applyProtection="1">
      <alignment horizontal="center" vertical="center" wrapText="1"/>
      <protection locked="0"/>
    </xf>
    <xf numFmtId="164" fontId="61" fillId="30" borderId="13" xfId="1297" applyFont="1" applyFill="1" applyBorder="1" applyAlignment="1" applyProtection="1">
      <alignment horizontal="center" vertical="center" wrapText="1"/>
      <protection/>
    </xf>
    <xf numFmtId="164" fontId="61" fillId="30" borderId="13" xfId="1297" applyFont="1" applyFill="1" applyBorder="1" applyAlignment="1" applyProtection="1">
      <alignment horizontal="center" vertical="top" wrapText="1"/>
      <protection/>
    </xf>
    <xf numFmtId="189" fontId="103" fillId="30" borderId="13" xfId="1308" applyFont="1" applyFill="1" applyBorder="1" applyAlignment="1" applyProtection="1">
      <alignment horizontal="center" vertical="center" wrapText="1"/>
      <protection/>
    </xf>
    <xf numFmtId="189" fontId="80" fillId="30" borderId="13" xfId="1308" applyFont="1" applyFill="1" applyBorder="1" applyAlignment="1" applyProtection="1">
      <alignment horizontal="center" vertical="center" wrapText="1"/>
      <protection/>
    </xf>
    <xf numFmtId="164" fontId="80" fillId="0" borderId="0" xfId="0" applyFont="1" applyAlignment="1">
      <alignment horizontal="left"/>
    </xf>
    <xf numFmtId="164" fontId="80" fillId="0" borderId="0" xfId="0" applyFont="1" applyFill="1" applyBorder="1" applyAlignment="1">
      <alignment horizontal="left" vertical="center"/>
    </xf>
    <xf numFmtId="164" fontId="80" fillId="0" borderId="0" xfId="0" applyFont="1" applyFill="1" applyBorder="1" applyAlignment="1">
      <alignment horizontal="right" vertical="center"/>
    </xf>
    <xf numFmtId="164" fontId="80" fillId="0" borderId="0" xfId="0" applyFont="1" applyAlignment="1">
      <alignment/>
    </xf>
    <xf numFmtId="164" fontId="96" fillId="0" borderId="26" xfId="0" applyFont="1" applyBorder="1" applyAlignment="1">
      <alignment horizontal="center" vertical="center" wrapText="1"/>
    </xf>
    <xf numFmtId="164" fontId="96" fillId="0" borderId="27" xfId="0" applyFont="1" applyBorder="1" applyAlignment="1">
      <alignment horizontal="center" vertical="center" wrapText="1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%" xfId="21"/>
    <cellStyle name="%_Inputs" xfId="22"/>
    <cellStyle name="%_Inputs (const)" xfId="23"/>
    <cellStyle name="%_Inputs Co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20% - Акцент1 10" xfId="37"/>
    <cellStyle name="20% - Акцент1 11" xfId="38"/>
    <cellStyle name="20% - Акцент1 12" xfId="39"/>
    <cellStyle name="20% - Акцент1 13" xfId="40"/>
    <cellStyle name="20% - Акцент1 14" xfId="41"/>
    <cellStyle name="20% - Акцент1 2" xfId="42"/>
    <cellStyle name="20% - Акцент1 2 2" xfId="43"/>
    <cellStyle name="20% - Акцент1 2 3" xfId="44"/>
    <cellStyle name="20% - Акцент1 2 4" xfId="45"/>
    <cellStyle name="20% - Акцент1 2 5" xfId="46"/>
    <cellStyle name="20% - Акцент1 2 6" xfId="47"/>
    <cellStyle name="20% - Акцент1 2 7" xfId="48"/>
    <cellStyle name="20% - Акцент1 3" xfId="49"/>
    <cellStyle name="20% - Акцент1 3 2" xfId="50"/>
    <cellStyle name="20% - Акцент1 4" xfId="51"/>
    <cellStyle name="20% - Акцент1 4 2" xfId="52"/>
    <cellStyle name="20% - Акцент1 5" xfId="53"/>
    <cellStyle name="20% - Акцент1 5 2" xfId="54"/>
    <cellStyle name="20% - Акцент1 6" xfId="55"/>
    <cellStyle name="20% - Акцент1 6 2" xfId="56"/>
    <cellStyle name="20% - Акцент1 7" xfId="57"/>
    <cellStyle name="20% - Акцент1 7 2" xfId="58"/>
    <cellStyle name="20% - Акцент1 8" xfId="59"/>
    <cellStyle name="20% - Акцент1 8 2" xfId="60"/>
    <cellStyle name="20% - Акцент1 9" xfId="61"/>
    <cellStyle name="20% - Акцент1 9 2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2" xfId="68"/>
    <cellStyle name="20% - Акцент2 2 2" xfId="69"/>
    <cellStyle name="20% - Акцент2 2 3" xfId="70"/>
    <cellStyle name="20% - Акцент2 2 4" xfId="71"/>
    <cellStyle name="20% - Акцент2 2 5" xfId="72"/>
    <cellStyle name="20% - Акцент2 2 6" xfId="73"/>
    <cellStyle name="20% - Акцент2 2 7" xfId="74"/>
    <cellStyle name="20% - Акцент2 3" xfId="75"/>
    <cellStyle name="20% - Акцент2 3 2" xfId="76"/>
    <cellStyle name="20% - Акцент2 4" xfId="77"/>
    <cellStyle name="20% - Акцент2 4 2" xfId="78"/>
    <cellStyle name="20% - Акцент2 5" xfId="79"/>
    <cellStyle name="20% - Акцент2 5 2" xfId="80"/>
    <cellStyle name="20% - Акцент2 6" xfId="81"/>
    <cellStyle name="20% - Акцент2 6 2" xfId="82"/>
    <cellStyle name="20% - Акцент2 7" xfId="83"/>
    <cellStyle name="20% - Акцент2 7 2" xfId="84"/>
    <cellStyle name="20% - Акцент2 8" xfId="85"/>
    <cellStyle name="20% - Акцент2 8 2" xfId="86"/>
    <cellStyle name="20% - Акцент2 9" xfId="87"/>
    <cellStyle name="20% - Акцент2 9 2" xfId="88"/>
    <cellStyle name="20% - Акцент3 10" xfId="89"/>
    <cellStyle name="20% - Акцент3 11" xfId="90"/>
    <cellStyle name="20% - Акцент3 12" xfId="91"/>
    <cellStyle name="20% - Акцент3 13" xfId="92"/>
    <cellStyle name="20% - Акцент3 14" xfId="93"/>
    <cellStyle name="20% - Акцент3 2" xfId="94"/>
    <cellStyle name="20% - Акцент3 2 2" xfId="95"/>
    <cellStyle name="20% - Акцент3 2 3" xfId="96"/>
    <cellStyle name="20% - Акцент3 2 4" xfId="97"/>
    <cellStyle name="20% - Акцент3 2 5" xfId="98"/>
    <cellStyle name="20% - Акцент3 2 6" xfId="99"/>
    <cellStyle name="20% - Акцент3 2 7" xfId="100"/>
    <cellStyle name="20% - Акцент3 3" xfId="101"/>
    <cellStyle name="20% - Акцент3 3 2" xfId="102"/>
    <cellStyle name="20% - Акцент3 4" xfId="103"/>
    <cellStyle name="20% - Акцент3 4 2" xfId="104"/>
    <cellStyle name="20% - Акцент3 5" xfId="105"/>
    <cellStyle name="20% - Акцент3 5 2" xfId="106"/>
    <cellStyle name="20% - Акцент3 6" xfId="107"/>
    <cellStyle name="20% - Акцент3 6 2" xfId="108"/>
    <cellStyle name="20% - Акцент3 7" xfId="109"/>
    <cellStyle name="20% - Акцент3 7 2" xfId="110"/>
    <cellStyle name="20% - Акцент3 8" xfId="111"/>
    <cellStyle name="20% - Акцент3 8 2" xfId="112"/>
    <cellStyle name="20% - Акцент3 9" xfId="113"/>
    <cellStyle name="20% - Акцент3 9 2" xfId="114"/>
    <cellStyle name="20% - Акцент4 10" xfId="115"/>
    <cellStyle name="20% - Акцент4 11" xfId="116"/>
    <cellStyle name="20% - Акцент4 12" xfId="117"/>
    <cellStyle name="20% - Акцент4 13" xfId="118"/>
    <cellStyle name="20% - Акцент4 14" xfId="119"/>
    <cellStyle name="20% - Акцент4 2" xfId="120"/>
    <cellStyle name="20% - Акцент4 2 2" xfId="121"/>
    <cellStyle name="20% - Акцент4 2 3" xfId="122"/>
    <cellStyle name="20% - Акцент4 2 4" xfId="123"/>
    <cellStyle name="20% - Акцент4 2 5" xfId="124"/>
    <cellStyle name="20% - Акцент4 2 6" xfId="125"/>
    <cellStyle name="20% - Акцент4 2 7" xfId="126"/>
    <cellStyle name="20% - Акцент4 3" xfId="127"/>
    <cellStyle name="20% - Акцент4 3 2" xfId="128"/>
    <cellStyle name="20% - Акцент4 4" xfId="129"/>
    <cellStyle name="20% - Акцент4 4 2" xfId="130"/>
    <cellStyle name="20% - Акцент4 5" xfId="131"/>
    <cellStyle name="20% - Акцент4 5 2" xfId="132"/>
    <cellStyle name="20% - Акцент4 6" xfId="133"/>
    <cellStyle name="20% - Акцент4 6 2" xfId="134"/>
    <cellStyle name="20% - Акцент4 7" xfId="135"/>
    <cellStyle name="20% - Акцент4 7 2" xfId="136"/>
    <cellStyle name="20% - Акцент4 8" xfId="137"/>
    <cellStyle name="20% - Акцент4 8 2" xfId="138"/>
    <cellStyle name="20% - Акцент4 9" xfId="139"/>
    <cellStyle name="20% - Акцент4 9 2" xfId="140"/>
    <cellStyle name="20% - Акцент5 10" xfId="141"/>
    <cellStyle name="20% - Акцент5 11" xfId="142"/>
    <cellStyle name="20% - Акцент5 12" xfId="143"/>
    <cellStyle name="20% - Акцент5 13" xfId="144"/>
    <cellStyle name="20% - Акцент5 14" xfId="145"/>
    <cellStyle name="20% - Акцент5 2" xfId="146"/>
    <cellStyle name="20% - Акцент5 2 2" xfId="147"/>
    <cellStyle name="20% - Акцент5 2 3" xfId="148"/>
    <cellStyle name="20% - Акцент5 2 4" xfId="149"/>
    <cellStyle name="20% - Акцент5 2 5" xfId="150"/>
    <cellStyle name="20% - Акцент5 2 6" xfId="151"/>
    <cellStyle name="20% - Акцент5 2 7" xfId="152"/>
    <cellStyle name="20% - Акцент5 3" xfId="153"/>
    <cellStyle name="20% - Акцент5 3 2" xfId="154"/>
    <cellStyle name="20% - Акцент5 4" xfId="155"/>
    <cellStyle name="20% - Акцент5 4 2" xfId="156"/>
    <cellStyle name="20% - Акцент5 5" xfId="157"/>
    <cellStyle name="20% - Акцент5 5 2" xfId="158"/>
    <cellStyle name="20% - Акцент5 6" xfId="159"/>
    <cellStyle name="20% - Акцент5 6 2" xfId="160"/>
    <cellStyle name="20% - Акцент5 7" xfId="161"/>
    <cellStyle name="20% - Акцент5 7 2" xfId="162"/>
    <cellStyle name="20% - Акцент5 8" xfId="163"/>
    <cellStyle name="20% - Акцент5 8 2" xfId="164"/>
    <cellStyle name="20% - Акцент5 9" xfId="165"/>
    <cellStyle name="20% - Акцент5 9 2" xfId="166"/>
    <cellStyle name="20% - Акцент6 10" xfId="167"/>
    <cellStyle name="20% - Акцент6 11" xfId="168"/>
    <cellStyle name="20% - Акцент6 12" xfId="169"/>
    <cellStyle name="20% - Акцент6 13" xfId="170"/>
    <cellStyle name="20% - Акцент6 14" xfId="171"/>
    <cellStyle name="20% - Акцент6 2" xfId="172"/>
    <cellStyle name="20% - Акцент6 2 2" xfId="173"/>
    <cellStyle name="20% - Акцент6 2 3" xfId="174"/>
    <cellStyle name="20% - Акцент6 2 4" xfId="175"/>
    <cellStyle name="20% - Акцент6 2 5" xfId="176"/>
    <cellStyle name="20% - Акцент6 2 6" xfId="177"/>
    <cellStyle name="20% - Акцент6 2 7" xfId="178"/>
    <cellStyle name="20% - Акцент6 3" xfId="179"/>
    <cellStyle name="20% - Акцент6 3 2" xfId="180"/>
    <cellStyle name="20% - Акцент6 4" xfId="181"/>
    <cellStyle name="20% - Акцент6 4 2" xfId="182"/>
    <cellStyle name="20% - Акцент6 5" xfId="183"/>
    <cellStyle name="20% - Акцент6 5 2" xfId="184"/>
    <cellStyle name="20% - Акцент6 6" xfId="185"/>
    <cellStyle name="20% - Акцент6 6 2" xfId="186"/>
    <cellStyle name="20% - Акцент6 7" xfId="187"/>
    <cellStyle name="20% - Акцент6 7 2" xfId="188"/>
    <cellStyle name="20% - Акцент6 8" xfId="189"/>
    <cellStyle name="20% - Акцент6 8 2" xfId="190"/>
    <cellStyle name="20% - Акцент6 9" xfId="191"/>
    <cellStyle name="20% - Акцент6 9 2" xfId="192"/>
    <cellStyle name="40% - Accent1" xfId="193"/>
    <cellStyle name="40% - Accent1 2" xfId="194"/>
    <cellStyle name="40% - Accent2" xfId="195"/>
    <cellStyle name="40% - Accent2 2" xfId="196"/>
    <cellStyle name="40% - Accent3" xfId="197"/>
    <cellStyle name="40% - Accent3 2" xfId="198"/>
    <cellStyle name="40% - Accent4" xfId="199"/>
    <cellStyle name="40% - Accent4 2" xfId="200"/>
    <cellStyle name="40% - Accent5" xfId="201"/>
    <cellStyle name="40% - Accent5 2" xfId="202"/>
    <cellStyle name="40% - Accent6" xfId="203"/>
    <cellStyle name="40% - Accent6 2" xfId="204"/>
    <cellStyle name="40% - Акцент1 10" xfId="205"/>
    <cellStyle name="40% - Акцент1 11" xfId="206"/>
    <cellStyle name="40% - Акцент1 12" xfId="207"/>
    <cellStyle name="40% - Акцент1 13" xfId="208"/>
    <cellStyle name="40% - Акцент1 14" xfId="209"/>
    <cellStyle name="40% - Акцент1 2" xfId="210"/>
    <cellStyle name="40% - Акцент1 2 2" xfId="211"/>
    <cellStyle name="40% - Акцент1 2 3" xfId="212"/>
    <cellStyle name="40% - Акцент1 2 4" xfId="213"/>
    <cellStyle name="40% - Акцент1 2 5" xfId="214"/>
    <cellStyle name="40% - Акцент1 2 6" xfId="215"/>
    <cellStyle name="40% - Акцент1 2 7" xfId="216"/>
    <cellStyle name="40% - Акцент1 3" xfId="217"/>
    <cellStyle name="40% - Акцент1 3 2" xfId="218"/>
    <cellStyle name="40% - Акцент1 4" xfId="219"/>
    <cellStyle name="40% - Акцент1 4 2" xfId="220"/>
    <cellStyle name="40% - Акцент1 5" xfId="221"/>
    <cellStyle name="40% - Акцент1 5 2" xfId="222"/>
    <cellStyle name="40% - Акцент1 6" xfId="223"/>
    <cellStyle name="40% - Акцент1 6 2" xfId="224"/>
    <cellStyle name="40% - Акцент1 7" xfId="225"/>
    <cellStyle name="40% - Акцент1 7 2" xfId="226"/>
    <cellStyle name="40% - Акцент1 8" xfId="227"/>
    <cellStyle name="40% - Акцент1 8 2" xfId="228"/>
    <cellStyle name="40% - Акцент1 9" xfId="229"/>
    <cellStyle name="40% - Акцент1 9 2" xfId="230"/>
    <cellStyle name="40% - Акцент2 10" xfId="231"/>
    <cellStyle name="40% - Акцент2 11" xfId="232"/>
    <cellStyle name="40% - Акцент2 12" xfId="233"/>
    <cellStyle name="40% - Акцент2 13" xfId="234"/>
    <cellStyle name="40% - Акцент2 14" xfId="235"/>
    <cellStyle name="40% - Акцент2 2" xfId="236"/>
    <cellStyle name="40% - Акцент2 2 2" xfId="237"/>
    <cellStyle name="40% - Акцент2 2 3" xfId="238"/>
    <cellStyle name="40% - Акцент2 2 4" xfId="239"/>
    <cellStyle name="40% - Акцент2 2 5" xfId="240"/>
    <cellStyle name="40% - Акцент2 2 6" xfId="241"/>
    <cellStyle name="40% - Акцент2 2 7" xfId="242"/>
    <cellStyle name="40% - Акцент2 3" xfId="243"/>
    <cellStyle name="40% - Акцент2 3 2" xfId="244"/>
    <cellStyle name="40% - Акцент2 4" xfId="245"/>
    <cellStyle name="40% - Акцент2 4 2" xfId="246"/>
    <cellStyle name="40% - Акцент2 5" xfId="247"/>
    <cellStyle name="40% - Акцент2 5 2" xfId="248"/>
    <cellStyle name="40% - Акцент2 6" xfId="249"/>
    <cellStyle name="40% - Акцент2 6 2" xfId="250"/>
    <cellStyle name="40% - Акцент2 7" xfId="251"/>
    <cellStyle name="40% - Акцент2 7 2" xfId="252"/>
    <cellStyle name="40% - Акцент2 8" xfId="253"/>
    <cellStyle name="40% - Акцент2 8 2" xfId="254"/>
    <cellStyle name="40% - Акцент2 9" xfId="255"/>
    <cellStyle name="40% - Акцент2 9 2" xfId="256"/>
    <cellStyle name="40% - Акцент3 10" xfId="257"/>
    <cellStyle name="40% - Акцент3 11" xfId="258"/>
    <cellStyle name="40% - Акцент3 12" xfId="259"/>
    <cellStyle name="40% - Акцент3 13" xfId="260"/>
    <cellStyle name="40% - Акцент3 14" xfId="261"/>
    <cellStyle name="40% - Акцент3 2" xfId="262"/>
    <cellStyle name="40% - Акцент3 2 2" xfId="263"/>
    <cellStyle name="40% - Акцент3 2 3" xfId="264"/>
    <cellStyle name="40% - Акцент3 2 4" xfId="265"/>
    <cellStyle name="40% - Акцент3 2 5" xfId="266"/>
    <cellStyle name="40% - Акцент3 2 6" xfId="267"/>
    <cellStyle name="40% - Акцент3 2 7" xfId="268"/>
    <cellStyle name="40% - Акцент3 3" xfId="269"/>
    <cellStyle name="40% - Акцент3 3 2" xfId="270"/>
    <cellStyle name="40% - Акцент3 4" xfId="271"/>
    <cellStyle name="40% - Акцент3 4 2" xfId="272"/>
    <cellStyle name="40% - Акцент3 5" xfId="273"/>
    <cellStyle name="40% - Акцент3 5 2" xfId="274"/>
    <cellStyle name="40% - Акцент3 6" xfId="275"/>
    <cellStyle name="40% - Акцент3 6 2" xfId="276"/>
    <cellStyle name="40% - Акцент3 7" xfId="277"/>
    <cellStyle name="40% - Акцент3 7 2" xfId="278"/>
    <cellStyle name="40% - Акцент3 8" xfId="279"/>
    <cellStyle name="40% - Акцент3 8 2" xfId="280"/>
    <cellStyle name="40% - Акцент3 9" xfId="281"/>
    <cellStyle name="40% - Акцент3 9 2" xfId="282"/>
    <cellStyle name="40% - Акцент4 10" xfId="283"/>
    <cellStyle name="40% - Акцент4 11" xfId="284"/>
    <cellStyle name="40% - Акцент4 12" xfId="285"/>
    <cellStyle name="40% - Акцент4 13" xfId="286"/>
    <cellStyle name="40% - Акцент4 14" xfId="287"/>
    <cellStyle name="40% - Акцент4 2" xfId="288"/>
    <cellStyle name="40% - Акцент4 2 2" xfId="289"/>
    <cellStyle name="40% - Акцент4 2 3" xfId="290"/>
    <cellStyle name="40% - Акцент4 2 4" xfId="291"/>
    <cellStyle name="40% - Акцент4 2 5" xfId="292"/>
    <cellStyle name="40% - Акцент4 2 6" xfId="293"/>
    <cellStyle name="40% - Акцент4 2 7" xfId="294"/>
    <cellStyle name="40% - Акцент4 3" xfId="295"/>
    <cellStyle name="40% - Акцент4 3 2" xfId="296"/>
    <cellStyle name="40% - Акцент4 4" xfId="297"/>
    <cellStyle name="40% - Акцент4 4 2" xfId="298"/>
    <cellStyle name="40% - Акцент4 5" xfId="299"/>
    <cellStyle name="40% - Акцент4 5 2" xfId="300"/>
    <cellStyle name="40% - Акцент4 6" xfId="301"/>
    <cellStyle name="40% - Акцент4 6 2" xfId="302"/>
    <cellStyle name="40% - Акцент4 7" xfId="303"/>
    <cellStyle name="40% - Акцент4 7 2" xfId="304"/>
    <cellStyle name="40% - Акцент4 8" xfId="305"/>
    <cellStyle name="40% - Акцент4 8 2" xfId="306"/>
    <cellStyle name="40% - Акцент4 9" xfId="307"/>
    <cellStyle name="40% - Акцент4 9 2" xfId="308"/>
    <cellStyle name="40% - Акцент5 10" xfId="309"/>
    <cellStyle name="40% - Акцент5 11" xfId="310"/>
    <cellStyle name="40% - Акцент5 12" xfId="311"/>
    <cellStyle name="40% - Акцент5 13" xfId="312"/>
    <cellStyle name="40% - Акцент5 14" xfId="313"/>
    <cellStyle name="40% - Акцент5 2" xfId="314"/>
    <cellStyle name="40% - Акцент5 2 2" xfId="315"/>
    <cellStyle name="40% - Акцент5 2 3" xfId="316"/>
    <cellStyle name="40% - Акцент5 2 4" xfId="317"/>
    <cellStyle name="40% - Акцент5 2 5" xfId="318"/>
    <cellStyle name="40% - Акцент5 2 6" xfId="319"/>
    <cellStyle name="40% - Акцент5 2 7" xfId="320"/>
    <cellStyle name="40% - Акцент5 3" xfId="321"/>
    <cellStyle name="40% - Акцент5 3 2" xfId="322"/>
    <cellStyle name="40% - Акцент5 4" xfId="323"/>
    <cellStyle name="40% - Акцент5 4 2" xfId="324"/>
    <cellStyle name="40% - Акцент5 5" xfId="325"/>
    <cellStyle name="40% - Акцент5 5 2" xfId="326"/>
    <cellStyle name="40% - Акцент5 6" xfId="327"/>
    <cellStyle name="40% - Акцент5 6 2" xfId="328"/>
    <cellStyle name="40% - Акцент5 7" xfId="329"/>
    <cellStyle name="40% - Акцент5 7 2" xfId="330"/>
    <cellStyle name="40% - Акцент5 8" xfId="331"/>
    <cellStyle name="40% - Акцент5 8 2" xfId="332"/>
    <cellStyle name="40% - Акцент5 9" xfId="333"/>
    <cellStyle name="40% - Акцент5 9 2" xfId="334"/>
    <cellStyle name="40% - Акцент6 10" xfId="335"/>
    <cellStyle name="40% - Акцент6 11" xfId="336"/>
    <cellStyle name="40% - Акцент6 12" xfId="337"/>
    <cellStyle name="40% - Акцент6 13" xfId="338"/>
    <cellStyle name="40% - Акцент6 14" xfId="339"/>
    <cellStyle name="40% - Акцент6 2" xfId="340"/>
    <cellStyle name="40% - Акцент6 2 2" xfId="341"/>
    <cellStyle name="40% - Акцент6 2 3" xfId="342"/>
    <cellStyle name="40% - Акцент6 2 4" xfId="343"/>
    <cellStyle name="40% - Акцент6 2 5" xfId="344"/>
    <cellStyle name="40% - Акцент6 2 6" xfId="345"/>
    <cellStyle name="40% - Акцент6 2 7" xfId="346"/>
    <cellStyle name="40% - Акцент6 3" xfId="347"/>
    <cellStyle name="40% - Акцент6 3 2" xfId="348"/>
    <cellStyle name="40% - Акцент6 4" xfId="349"/>
    <cellStyle name="40% - Акцент6 4 2" xfId="350"/>
    <cellStyle name="40% - Акцент6 5" xfId="351"/>
    <cellStyle name="40% - Акцент6 5 2" xfId="352"/>
    <cellStyle name="40% - Акцент6 6" xfId="353"/>
    <cellStyle name="40% - Акцент6 6 2" xfId="354"/>
    <cellStyle name="40% - Акцент6 7" xfId="355"/>
    <cellStyle name="40% - Акцент6 7 2" xfId="356"/>
    <cellStyle name="40% - Акцент6 8" xfId="357"/>
    <cellStyle name="40% - Акцент6 8 2" xfId="358"/>
    <cellStyle name="40% - Акцент6 9" xfId="359"/>
    <cellStyle name="40% - Акцент6 9 2" xfId="360"/>
    <cellStyle name="60% - Accent1" xfId="361"/>
    <cellStyle name="60% - Accent2" xfId="362"/>
    <cellStyle name="60% - Accent3" xfId="363"/>
    <cellStyle name="60% - Accent4" xfId="364"/>
    <cellStyle name="60% - Accent5" xfId="365"/>
    <cellStyle name="60% - Accent6" xfId="366"/>
    <cellStyle name="60% - Акцент1 10" xfId="367"/>
    <cellStyle name="60% - Акцент1 11" xfId="368"/>
    <cellStyle name="60% - Акцент1 12" xfId="369"/>
    <cellStyle name="60% - Акцент1 13" xfId="370"/>
    <cellStyle name="60% - Акцент1 14" xfId="371"/>
    <cellStyle name="60% - Акцент1 2" xfId="372"/>
    <cellStyle name="60% - Акцент1 2 2" xfId="373"/>
    <cellStyle name="60% - Акцент1 2 3" xfId="374"/>
    <cellStyle name="60% - Акцент1 2 4" xfId="375"/>
    <cellStyle name="60% - Акцент1 2 5" xfId="376"/>
    <cellStyle name="60% - Акцент1 2 6" xfId="377"/>
    <cellStyle name="60% - Акцент1 2 7" xfId="378"/>
    <cellStyle name="60% - Акцент1 3" xfId="379"/>
    <cellStyle name="60% - Акцент1 3 2" xfId="380"/>
    <cellStyle name="60% - Акцент1 4" xfId="381"/>
    <cellStyle name="60% - Акцент1 4 2" xfId="382"/>
    <cellStyle name="60% - Акцент1 5" xfId="383"/>
    <cellStyle name="60% - Акцент1 5 2" xfId="384"/>
    <cellStyle name="60% - Акцент1 6" xfId="385"/>
    <cellStyle name="60% - Акцент1 6 2" xfId="386"/>
    <cellStyle name="60% - Акцент1 7" xfId="387"/>
    <cellStyle name="60% - Акцент1 7 2" xfId="388"/>
    <cellStyle name="60% - Акцент1 8" xfId="389"/>
    <cellStyle name="60% - Акцент1 8 2" xfId="390"/>
    <cellStyle name="60% - Акцент1 9" xfId="391"/>
    <cellStyle name="60% - Акцент1 9 2" xfId="392"/>
    <cellStyle name="60% - Акцент2 10" xfId="393"/>
    <cellStyle name="60% - Акцент2 11" xfId="394"/>
    <cellStyle name="60% - Акцент2 12" xfId="395"/>
    <cellStyle name="60% - Акцент2 13" xfId="396"/>
    <cellStyle name="60% - Акцент2 14" xfId="397"/>
    <cellStyle name="60% - Акцент2 2" xfId="398"/>
    <cellStyle name="60% - Акцент2 2 2" xfId="399"/>
    <cellStyle name="60% - Акцент2 2 3" xfId="400"/>
    <cellStyle name="60% - Акцент2 2 4" xfId="401"/>
    <cellStyle name="60% - Акцент2 2 5" xfId="402"/>
    <cellStyle name="60% - Акцент2 2 6" xfId="403"/>
    <cellStyle name="60% - Акцент2 2 7" xfId="404"/>
    <cellStyle name="60% - Акцент2 3" xfId="405"/>
    <cellStyle name="60% - Акцент2 3 2" xfId="406"/>
    <cellStyle name="60% - Акцент2 4" xfId="407"/>
    <cellStyle name="60% - Акцент2 4 2" xfId="408"/>
    <cellStyle name="60% - Акцент2 5" xfId="409"/>
    <cellStyle name="60% - Акцент2 5 2" xfId="410"/>
    <cellStyle name="60% - Акцент2 6" xfId="411"/>
    <cellStyle name="60% - Акцент2 6 2" xfId="412"/>
    <cellStyle name="60% - Акцент2 7" xfId="413"/>
    <cellStyle name="60% - Акцент2 7 2" xfId="414"/>
    <cellStyle name="60% - Акцент2 8" xfId="415"/>
    <cellStyle name="60% - Акцент2 8 2" xfId="416"/>
    <cellStyle name="60% - Акцент2 9" xfId="417"/>
    <cellStyle name="60% - Акцент2 9 2" xfId="418"/>
    <cellStyle name="60% - Акцент3 10" xfId="419"/>
    <cellStyle name="60% - Акцент3 11" xfId="420"/>
    <cellStyle name="60% - Акцент3 12" xfId="421"/>
    <cellStyle name="60% - Акцент3 13" xfId="422"/>
    <cellStyle name="60% - Акцент3 14" xfId="423"/>
    <cellStyle name="60% - Акцент3 2" xfId="424"/>
    <cellStyle name="60% - Акцент3 2 2" xfId="425"/>
    <cellStyle name="60% - Акцент3 2 3" xfId="426"/>
    <cellStyle name="60% - Акцент3 2 4" xfId="427"/>
    <cellStyle name="60% - Акцент3 2 5" xfId="428"/>
    <cellStyle name="60% - Акцент3 2 6" xfId="429"/>
    <cellStyle name="60% - Акцент3 2 7" xfId="430"/>
    <cellStyle name="60% - Акцент3 3" xfId="431"/>
    <cellStyle name="60% - Акцент3 3 2" xfId="432"/>
    <cellStyle name="60% - Акцент3 4" xfId="433"/>
    <cellStyle name="60% - Акцент3 4 2" xfId="434"/>
    <cellStyle name="60% - Акцент3 5" xfId="435"/>
    <cellStyle name="60% - Акцент3 5 2" xfId="436"/>
    <cellStyle name="60% - Акцент3 6" xfId="437"/>
    <cellStyle name="60% - Акцент3 6 2" xfId="438"/>
    <cellStyle name="60% - Акцент3 7" xfId="439"/>
    <cellStyle name="60% - Акцент3 7 2" xfId="440"/>
    <cellStyle name="60% - Акцент3 8" xfId="441"/>
    <cellStyle name="60% - Акцент3 8 2" xfId="442"/>
    <cellStyle name="60% - Акцент3 9" xfId="443"/>
    <cellStyle name="60% - Акцент3 9 2" xfId="444"/>
    <cellStyle name="60% - Акцент4 10" xfId="445"/>
    <cellStyle name="60% - Акцент4 11" xfId="446"/>
    <cellStyle name="60% - Акцент4 12" xfId="447"/>
    <cellStyle name="60% - Акцент4 13" xfId="448"/>
    <cellStyle name="60% - Акцент4 14" xfId="449"/>
    <cellStyle name="60% - Акцент4 2" xfId="450"/>
    <cellStyle name="60% - Акцент4 2 2" xfId="451"/>
    <cellStyle name="60% - Акцент4 2 3" xfId="452"/>
    <cellStyle name="60% - Акцент4 2 4" xfId="453"/>
    <cellStyle name="60% - Акцент4 2 5" xfId="454"/>
    <cellStyle name="60% - Акцент4 2 6" xfId="455"/>
    <cellStyle name="60% - Акцент4 2 7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 10" xfId="471"/>
    <cellStyle name="60% - Акцент5 11" xfId="472"/>
    <cellStyle name="60% - Акцент5 12" xfId="473"/>
    <cellStyle name="60% - Акцент5 13" xfId="474"/>
    <cellStyle name="60% - Акцент5 14" xfId="475"/>
    <cellStyle name="60% - Акцент5 2" xfId="476"/>
    <cellStyle name="60% - Акцент5 2 2" xfId="477"/>
    <cellStyle name="60% - Акцент5 2 3" xfId="478"/>
    <cellStyle name="60% - Акцент5 2 4" xfId="479"/>
    <cellStyle name="60% - Акцент5 2 5" xfId="480"/>
    <cellStyle name="60% - Акцент5 2 6" xfId="481"/>
    <cellStyle name="60% - Акцент5 2 7" xfId="482"/>
    <cellStyle name="60% - Акцент5 3" xfId="483"/>
    <cellStyle name="60% - Акцент5 3 2" xfId="484"/>
    <cellStyle name="60% - Акцент5 4" xfId="485"/>
    <cellStyle name="60% - Акцент5 4 2" xfId="486"/>
    <cellStyle name="60% - Акцент5 5" xfId="487"/>
    <cellStyle name="60% - Акцент5 5 2" xfId="488"/>
    <cellStyle name="60% - Акцент5 6" xfId="489"/>
    <cellStyle name="60% - Акцент5 6 2" xfId="490"/>
    <cellStyle name="60% - Акцент5 7" xfId="491"/>
    <cellStyle name="60% - Акцент5 7 2" xfId="492"/>
    <cellStyle name="60% - Акцент5 8" xfId="493"/>
    <cellStyle name="60% - Акцент5 8 2" xfId="494"/>
    <cellStyle name="60% - Акцент5 9" xfId="495"/>
    <cellStyle name="60% - Акцент5 9 2" xfId="496"/>
    <cellStyle name="60% - Акцент6 10" xfId="497"/>
    <cellStyle name="60% - Акцент6 11" xfId="498"/>
    <cellStyle name="60% - Акцент6 12" xfId="499"/>
    <cellStyle name="60% - Акцент6 13" xfId="500"/>
    <cellStyle name="60% - Акцент6 14" xfId="501"/>
    <cellStyle name="60% - Акцент6 2" xfId="502"/>
    <cellStyle name="60% - Акцент6 2 2" xfId="503"/>
    <cellStyle name="60% - Акцент6 2 3" xfId="504"/>
    <cellStyle name="60% - Акцент6 2 4" xfId="505"/>
    <cellStyle name="60% - Акцент6 2 5" xfId="506"/>
    <cellStyle name="60% - Акцент6 2 6" xfId="507"/>
    <cellStyle name="60% - Акцент6 2 7" xfId="508"/>
    <cellStyle name="60% - Акцент6 3" xfId="509"/>
    <cellStyle name="60% - Акцент6 3 2" xfId="510"/>
    <cellStyle name="60% - Акцент6 4" xfId="511"/>
    <cellStyle name="60% - Акцент6 4 2" xfId="512"/>
    <cellStyle name="60% - Акцент6 5" xfId="513"/>
    <cellStyle name="60% - Акцент6 5 2" xfId="514"/>
    <cellStyle name="60% - Акцент6 6" xfId="515"/>
    <cellStyle name="60% - Акцент6 6 2" xfId="516"/>
    <cellStyle name="60% - Акцент6 7" xfId="517"/>
    <cellStyle name="60% - Акцент6 7 2" xfId="518"/>
    <cellStyle name="60% - Акцент6 8" xfId="519"/>
    <cellStyle name="60% - Акцент6 8 2" xfId="520"/>
    <cellStyle name="60% - Акцент6 9" xfId="521"/>
    <cellStyle name="60% - Акцент6 9 2" xfId="522"/>
    <cellStyle name="_Model_RAB Мой" xfId="523"/>
    <cellStyle name="_Model_RAB_MRSK_svod" xfId="524"/>
    <cellStyle name="_ВО ОП ТЭС-ОТ- 2007" xfId="525"/>
    <cellStyle name="_ВФ ОАО ТЭС-ОТ- 2009" xfId="526"/>
    <cellStyle name="_Договор аренды ЯЭ с разбивкой" xfId="527"/>
    <cellStyle name="_Исходные данные для модели" xfId="528"/>
    <cellStyle name="_МОДЕЛЬ_1 (2)" xfId="529"/>
    <cellStyle name="_НВВ 2009 постатейно свод по филиалам_09_02_09" xfId="530"/>
    <cellStyle name="_НВВ 2009 постатейно свод по филиалам_для Валентина" xfId="531"/>
    <cellStyle name="_ОТ ИД 2009" xfId="532"/>
    <cellStyle name="_Омск" xfId="533"/>
    <cellStyle name="_Предожение _ДБП_2009 г ( согласованные БП)  (2)" xfId="534"/>
    <cellStyle name="_Приложение МТС-3-КС" xfId="535"/>
    <cellStyle name="_Приложение-МТС--2-1" xfId="536"/>
    <cellStyle name="_Расчет RAB_22072008" xfId="537"/>
    <cellStyle name="_Расчет RAB_Лен и МОЭСК_с 2010 года_14.04.2009_со сглаж_version 3.0_без ФСК" xfId="538"/>
    <cellStyle name="_Свод по ИПР (2)" xfId="539"/>
    <cellStyle name="_Форма 6  РТК.xls(отчет по Адр пр. ЛО)" xfId="540"/>
    <cellStyle name="_Формат разбивки по МРСК_РСК" xfId="541"/>
    <cellStyle name="_Формат_для Согласования" xfId="542"/>
    <cellStyle name="_выручка по присоединениям2" xfId="543"/>
    <cellStyle name="_пр 5 тариф RAB" xfId="544"/>
    <cellStyle name="_таблицы для расчетов28-04-08_2006-2009_прибыль корр_по ИА" xfId="545"/>
    <cellStyle name="_таблицы для расчетов28-04-08_2006-2009с ИА" xfId="546"/>
    <cellStyle name="_экон.форм-т ВО 1 с разбивкой" xfId="547"/>
    <cellStyle name="Accent1" xfId="548"/>
    <cellStyle name="Accent2" xfId="549"/>
    <cellStyle name="Accent3" xfId="550"/>
    <cellStyle name="Accent4" xfId="551"/>
    <cellStyle name="Accent5" xfId="552"/>
    <cellStyle name="Accent6" xfId="553"/>
    <cellStyle name="Bad" xfId="554"/>
    <cellStyle name="Calculation" xfId="555"/>
    <cellStyle name="Check Cell" xfId="556"/>
    <cellStyle name="Comma [0]_irl tel sep5" xfId="557"/>
    <cellStyle name="Comma0" xfId="558"/>
    <cellStyle name="Comma_irl tel sep5" xfId="559"/>
    <cellStyle name="Currency [0]" xfId="560"/>
    <cellStyle name="Currency [0] 2" xfId="561"/>
    <cellStyle name="Currency [0] 2 2" xfId="562"/>
    <cellStyle name="Currency [0] 2 3" xfId="563"/>
    <cellStyle name="Currency [0] 2 4" xfId="564"/>
    <cellStyle name="Currency [0] 2 5" xfId="565"/>
    <cellStyle name="Currency [0] 2 6" xfId="566"/>
    <cellStyle name="Currency [0] 2 7" xfId="567"/>
    <cellStyle name="Currency [0] 2 8" xfId="568"/>
    <cellStyle name="Currency [0] 3" xfId="569"/>
    <cellStyle name="Currency [0] 3 2" xfId="570"/>
    <cellStyle name="Currency [0] 3 3" xfId="571"/>
    <cellStyle name="Currency [0] 3 4" xfId="572"/>
    <cellStyle name="Currency [0] 3 5" xfId="573"/>
    <cellStyle name="Currency [0] 3 6" xfId="574"/>
    <cellStyle name="Currency [0] 3 7" xfId="575"/>
    <cellStyle name="Currency [0] 3 8" xfId="576"/>
    <cellStyle name="Currency [0] 4" xfId="577"/>
    <cellStyle name="Currency [0] 4 2" xfId="578"/>
    <cellStyle name="Currency [0] 4 3" xfId="579"/>
    <cellStyle name="Currency [0] 4 4" xfId="580"/>
    <cellStyle name="Currency [0] 4 5" xfId="581"/>
    <cellStyle name="Currency [0] 4 6" xfId="582"/>
    <cellStyle name="Currency [0] 4 7" xfId="583"/>
    <cellStyle name="Currency [0] 4 8" xfId="584"/>
    <cellStyle name="Currency [0] 5" xfId="585"/>
    <cellStyle name="Currency [0] 5 2" xfId="586"/>
    <cellStyle name="Currency [0] 5 3" xfId="587"/>
    <cellStyle name="Currency [0] 5 4" xfId="588"/>
    <cellStyle name="Currency [0] 5 5" xfId="589"/>
    <cellStyle name="Currency [0] 5 6" xfId="590"/>
    <cellStyle name="Currency [0] 5 7" xfId="591"/>
    <cellStyle name="Currency [0] 5 8" xfId="592"/>
    <cellStyle name="Currency [0] 6" xfId="593"/>
    <cellStyle name="Currency [0] 6 2" xfId="594"/>
    <cellStyle name="Currency [0] 7" xfId="595"/>
    <cellStyle name="Currency [0] 7 2" xfId="596"/>
    <cellStyle name="Currency [0] 8" xfId="597"/>
    <cellStyle name="Currency [0] 8 2" xfId="598"/>
    <cellStyle name="Currency0" xfId="599"/>
    <cellStyle name="Currency_irl tel sep5" xfId="600"/>
    <cellStyle name="Date" xfId="601"/>
    <cellStyle name="Dates" xfId="602"/>
    <cellStyle name="E-mail" xfId="603"/>
    <cellStyle name="Euro" xfId="604"/>
    <cellStyle name="Explanatory Text" xfId="605"/>
    <cellStyle name="F2" xfId="606"/>
    <cellStyle name="F3" xfId="607"/>
    <cellStyle name="F4" xfId="608"/>
    <cellStyle name="F5" xfId="609"/>
    <cellStyle name="F6" xfId="610"/>
    <cellStyle name="F7" xfId="611"/>
    <cellStyle name="F8" xfId="612"/>
    <cellStyle name="Fixed" xfId="613"/>
    <cellStyle name="Good" xfId="614"/>
    <cellStyle name="Heading" xfId="615"/>
    <cellStyle name="Heading 1" xfId="616"/>
    <cellStyle name="Heading 2" xfId="617"/>
    <cellStyle name="Heading 3" xfId="618"/>
    <cellStyle name="Heading 4" xfId="619"/>
    <cellStyle name="Heading1" xfId="620"/>
    <cellStyle name="Heading2" xfId="621"/>
    <cellStyle name="Input" xfId="622"/>
    <cellStyle name="Inputs" xfId="623"/>
    <cellStyle name="Inputs (const)" xfId="624"/>
    <cellStyle name="Inputs Co" xfId="625"/>
    <cellStyle name="Linked Cell" xfId="626"/>
    <cellStyle name="Neutral" xfId="627"/>
    <cellStyle name="normal" xfId="628"/>
    <cellStyle name="Normal 2" xfId="629"/>
    <cellStyle name="normal 3" xfId="630"/>
    <cellStyle name="normal 4" xfId="631"/>
    <cellStyle name="normal 5" xfId="632"/>
    <cellStyle name="normal 6" xfId="633"/>
    <cellStyle name="normal 7" xfId="634"/>
    <cellStyle name="normal 8" xfId="635"/>
    <cellStyle name="normal 9" xfId="636"/>
    <cellStyle name="Normal1" xfId="637"/>
    <cellStyle name="normal_1" xfId="638"/>
    <cellStyle name="normбlnм_laroux" xfId="639"/>
    <cellStyle name="Note" xfId="640"/>
    <cellStyle name="Output" xfId="641"/>
    <cellStyle name="Price_Body" xfId="642"/>
    <cellStyle name="Result" xfId="643"/>
    <cellStyle name="Result2" xfId="644"/>
    <cellStyle name="SAPBEXaggData" xfId="645"/>
    <cellStyle name="SAPBEXaggDataEmph" xfId="646"/>
    <cellStyle name="SAPBEXaggItem" xfId="647"/>
    <cellStyle name="SAPBEXaggItemX" xfId="648"/>
    <cellStyle name="SAPBEXchaText" xfId="649"/>
    <cellStyle name="SAPBEXexcBad7" xfId="650"/>
    <cellStyle name="SAPBEXexcBad8" xfId="651"/>
    <cellStyle name="SAPBEXexcBad9" xfId="652"/>
    <cellStyle name="SAPBEXexcCritical4" xfId="653"/>
    <cellStyle name="SAPBEXexcCritical5" xfId="654"/>
    <cellStyle name="SAPBEXexcCritical6" xfId="655"/>
    <cellStyle name="SAPBEXexcGood1" xfId="656"/>
    <cellStyle name="SAPBEXexcGood2" xfId="657"/>
    <cellStyle name="SAPBEXexcGood3" xfId="658"/>
    <cellStyle name="SAPBEXfilterDrill" xfId="659"/>
    <cellStyle name="SAPBEXfilterItem" xfId="660"/>
    <cellStyle name="SAPBEXfilterText" xfId="661"/>
    <cellStyle name="SAPBEXformats" xfId="662"/>
    <cellStyle name="SAPBEXheaderItem" xfId="663"/>
    <cellStyle name="SAPBEXheaderText" xfId="664"/>
    <cellStyle name="SAPBEXHLevel0" xfId="665"/>
    <cellStyle name="SAPBEXHLevel0X" xfId="666"/>
    <cellStyle name="SAPBEXHLevel1" xfId="667"/>
    <cellStyle name="SAPBEXHLevel1X" xfId="668"/>
    <cellStyle name="SAPBEXHLevel2" xfId="669"/>
    <cellStyle name="SAPBEXHLevel2X" xfId="670"/>
    <cellStyle name="SAPBEXHLevel3" xfId="671"/>
    <cellStyle name="SAPBEXHLevel3X" xfId="672"/>
    <cellStyle name="SAPBEXinputData" xfId="673"/>
    <cellStyle name="SAPBEXresData" xfId="674"/>
    <cellStyle name="SAPBEXresDataEmph" xfId="675"/>
    <cellStyle name="SAPBEXresItem" xfId="676"/>
    <cellStyle name="SAPBEXresItemX" xfId="677"/>
    <cellStyle name="SAPBEXstdData" xfId="678"/>
    <cellStyle name="SAPBEXstdDataEmph" xfId="679"/>
    <cellStyle name="SAPBEXstdItem" xfId="680"/>
    <cellStyle name="SAPBEXstdItemX" xfId="681"/>
    <cellStyle name="SAPBEXtitle" xfId="682"/>
    <cellStyle name="SAPBEXundefined" xfId="683"/>
    <cellStyle name="Style 1" xfId="684"/>
    <cellStyle name="Table Heading" xfId="685"/>
    <cellStyle name="Title" xfId="686"/>
    <cellStyle name="Total" xfId="687"/>
    <cellStyle name="Warning Text" xfId="688"/>
    <cellStyle name="’ћѓћ‚›‰" xfId="689"/>
    <cellStyle name="Áĺççŕůčňíűé" xfId="690"/>
    <cellStyle name="Äĺíĺćíűé [0]_(ňŕá 3č)" xfId="691"/>
    <cellStyle name="Äĺíĺćíűé_(ňŕá 3č)" xfId="692"/>
    <cellStyle name="Çŕůčňíűé" xfId="693"/>
    <cellStyle name="Îáű÷íűé__FES" xfId="694"/>
    <cellStyle name="Îňęđűâŕâřŕ˙ń˙ ăčďĺđńńűëęŕ" xfId="695"/>
    <cellStyle name="Ôčíŕíńîâűé [0]_(ňŕá 3č)" xfId="696"/>
    <cellStyle name="Ôčíŕíńîâűé_(ňŕá 3č)" xfId="697"/>
    <cellStyle name="Ăčďĺđńńűëęŕ" xfId="698"/>
    <cellStyle name="Џђћ–…ќ’ќ›‰" xfId="699"/>
    <cellStyle name="Акцент1 10" xfId="700"/>
    <cellStyle name="Акцент1 11" xfId="701"/>
    <cellStyle name="Акцент1 12" xfId="702"/>
    <cellStyle name="Акцент1 13" xfId="703"/>
    <cellStyle name="Акцент1 14" xfId="704"/>
    <cellStyle name="Акцент1 2" xfId="705"/>
    <cellStyle name="Акцент1 2 2" xfId="706"/>
    <cellStyle name="Акцент1 2 3" xfId="707"/>
    <cellStyle name="Акцент1 2 4" xfId="708"/>
    <cellStyle name="Акцент1 2 5" xfId="709"/>
    <cellStyle name="Акцент1 2 6" xfId="710"/>
    <cellStyle name="Акцент1 2 7" xfId="711"/>
    <cellStyle name="Акцент1 3" xfId="712"/>
    <cellStyle name="Акцент1 3 2" xfId="713"/>
    <cellStyle name="Акцент1 4" xfId="714"/>
    <cellStyle name="Акцент1 4 2" xfId="715"/>
    <cellStyle name="Акцент1 5" xfId="716"/>
    <cellStyle name="Акцент1 5 2" xfId="717"/>
    <cellStyle name="Акцент1 6" xfId="718"/>
    <cellStyle name="Акцент1 6 2" xfId="719"/>
    <cellStyle name="Акцент1 7" xfId="720"/>
    <cellStyle name="Акцент1 7 2" xfId="721"/>
    <cellStyle name="Акцент1 8" xfId="722"/>
    <cellStyle name="Акцент1 8 2" xfId="723"/>
    <cellStyle name="Акцент1 9" xfId="724"/>
    <cellStyle name="Акцент1 9 2" xfId="725"/>
    <cellStyle name="Акцент2 10" xfId="726"/>
    <cellStyle name="Акцент2 11" xfId="727"/>
    <cellStyle name="Акцент2 12" xfId="728"/>
    <cellStyle name="Акцент2 13" xfId="729"/>
    <cellStyle name="Акцент2 14" xfId="730"/>
    <cellStyle name="Акцент2 2" xfId="731"/>
    <cellStyle name="Акцент2 2 2" xfId="732"/>
    <cellStyle name="Акцент2 2 3" xfId="733"/>
    <cellStyle name="Акцент2 2 4" xfId="734"/>
    <cellStyle name="Акцент2 2 5" xfId="735"/>
    <cellStyle name="Акцент2 2 6" xfId="736"/>
    <cellStyle name="Акцент2 2 7" xfId="737"/>
    <cellStyle name="Акцент2 3" xfId="738"/>
    <cellStyle name="Акцент2 3 2" xfId="739"/>
    <cellStyle name="Акцент2 4" xfId="740"/>
    <cellStyle name="Акцент2 4 2" xfId="741"/>
    <cellStyle name="Акцент2 5" xfId="742"/>
    <cellStyle name="Акцент2 5 2" xfId="743"/>
    <cellStyle name="Акцент2 6" xfId="744"/>
    <cellStyle name="Акцент2 6 2" xfId="745"/>
    <cellStyle name="Акцент2 7" xfId="746"/>
    <cellStyle name="Акцент2 7 2" xfId="747"/>
    <cellStyle name="Акцент2 8" xfId="748"/>
    <cellStyle name="Акцент2 8 2" xfId="749"/>
    <cellStyle name="Акцент2 9" xfId="750"/>
    <cellStyle name="Акцент2 9 2" xfId="751"/>
    <cellStyle name="Акцент3 10" xfId="752"/>
    <cellStyle name="Акцент3 11" xfId="753"/>
    <cellStyle name="Акцент3 12" xfId="754"/>
    <cellStyle name="Акцент3 13" xfId="755"/>
    <cellStyle name="Акцент3 14" xfId="756"/>
    <cellStyle name="Акцент3 2" xfId="757"/>
    <cellStyle name="Акцент3 2 2" xfId="758"/>
    <cellStyle name="Акцент3 2 3" xfId="759"/>
    <cellStyle name="Акцент3 2 4" xfId="760"/>
    <cellStyle name="Акцент3 2 5" xfId="761"/>
    <cellStyle name="Акцент3 2 6" xfId="762"/>
    <cellStyle name="Акцент3 2 7" xfId="763"/>
    <cellStyle name="Акцент3 3" xfId="764"/>
    <cellStyle name="Акцент3 3 2" xfId="765"/>
    <cellStyle name="Акцент3 4" xfId="766"/>
    <cellStyle name="Акцент3 4 2" xfId="767"/>
    <cellStyle name="Акцент3 5" xfId="768"/>
    <cellStyle name="Акцент3 5 2" xfId="769"/>
    <cellStyle name="Акцент3 6" xfId="770"/>
    <cellStyle name="Акцент3 6 2" xfId="771"/>
    <cellStyle name="Акцент3 7" xfId="772"/>
    <cellStyle name="Акцент3 7 2" xfId="773"/>
    <cellStyle name="Акцент3 8" xfId="774"/>
    <cellStyle name="Акцент3 8 2" xfId="775"/>
    <cellStyle name="Акцент3 9" xfId="776"/>
    <cellStyle name="Акцент3 9 2" xfId="777"/>
    <cellStyle name="Акцент4 10" xfId="778"/>
    <cellStyle name="Акцент4 11" xfId="779"/>
    <cellStyle name="Акцент4 12" xfId="780"/>
    <cellStyle name="Акцент4 13" xfId="781"/>
    <cellStyle name="Акцент4 14" xfId="782"/>
    <cellStyle name="Акцент4 2" xfId="783"/>
    <cellStyle name="Акцент4 2 2" xfId="784"/>
    <cellStyle name="Акцент4 2 3" xfId="785"/>
    <cellStyle name="Акцент4 2 4" xfId="786"/>
    <cellStyle name="Акцент4 2 5" xfId="787"/>
    <cellStyle name="Акцент4 2 6" xfId="788"/>
    <cellStyle name="Акцент4 2 7" xfId="789"/>
    <cellStyle name="Акцент4 3" xfId="790"/>
    <cellStyle name="Акцент4 3 2" xfId="791"/>
    <cellStyle name="Акцент4 4" xfId="792"/>
    <cellStyle name="Акцент4 4 2" xfId="793"/>
    <cellStyle name="Акцент4 5" xfId="794"/>
    <cellStyle name="Акцент4 5 2" xfId="795"/>
    <cellStyle name="Акцент4 6" xfId="796"/>
    <cellStyle name="Акцент4 6 2" xfId="797"/>
    <cellStyle name="Акцент4 7" xfId="798"/>
    <cellStyle name="Акцент4 7 2" xfId="799"/>
    <cellStyle name="Акцент4 8" xfId="800"/>
    <cellStyle name="Акцент4 8 2" xfId="801"/>
    <cellStyle name="Акцент4 9" xfId="802"/>
    <cellStyle name="Акцент4 9 2" xfId="803"/>
    <cellStyle name="Акцент5 10" xfId="804"/>
    <cellStyle name="Акцент5 11" xfId="805"/>
    <cellStyle name="Акцент5 12" xfId="806"/>
    <cellStyle name="Акцент5 13" xfId="807"/>
    <cellStyle name="Акцент5 14" xfId="808"/>
    <cellStyle name="Акцент5 2" xfId="809"/>
    <cellStyle name="Акцент5 2 2" xfId="810"/>
    <cellStyle name="Акцент5 2 3" xfId="811"/>
    <cellStyle name="Акцент5 2 4" xfId="812"/>
    <cellStyle name="Акцент5 2 5" xfId="813"/>
    <cellStyle name="Акцент5 2 6" xfId="814"/>
    <cellStyle name="Акцент5 2 7" xfId="815"/>
    <cellStyle name="Акцент5 3" xfId="816"/>
    <cellStyle name="Акцент5 3 2" xfId="817"/>
    <cellStyle name="Акцент5 4" xfId="818"/>
    <cellStyle name="Акцент5 4 2" xfId="819"/>
    <cellStyle name="Акцент5 5" xfId="820"/>
    <cellStyle name="Акцент5 5 2" xfId="821"/>
    <cellStyle name="Акцент5 6" xfId="822"/>
    <cellStyle name="Акцент5 6 2" xfId="823"/>
    <cellStyle name="Акцент5 7" xfId="824"/>
    <cellStyle name="Акцент5 7 2" xfId="825"/>
    <cellStyle name="Акцент5 8" xfId="826"/>
    <cellStyle name="Акцент5 8 2" xfId="827"/>
    <cellStyle name="Акцент5 9" xfId="828"/>
    <cellStyle name="Акцент5 9 2" xfId="829"/>
    <cellStyle name="Акцент6 10" xfId="830"/>
    <cellStyle name="Акцент6 11" xfId="831"/>
    <cellStyle name="Акцент6 12" xfId="832"/>
    <cellStyle name="Акцент6 13" xfId="833"/>
    <cellStyle name="Акцент6 14" xfId="834"/>
    <cellStyle name="Акцент6 2" xfId="835"/>
    <cellStyle name="Акцент6 2 2" xfId="836"/>
    <cellStyle name="Акцент6 2 3" xfId="837"/>
    <cellStyle name="Акцент6 2 4" xfId="838"/>
    <cellStyle name="Акцент6 2 5" xfId="839"/>
    <cellStyle name="Акцент6 2 6" xfId="840"/>
    <cellStyle name="Акцент6 2 7" xfId="841"/>
    <cellStyle name="Акцент6 3" xfId="842"/>
    <cellStyle name="Акцент6 3 2" xfId="843"/>
    <cellStyle name="Акцент6 4" xfId="844"/>
    <cellStyle name="Акцент6 4 2" xfId="845"/>
    <cellStyle name="Акцент6 5" xfId="846"/>
    <cellStyle name="Акцент6 5 2" xfId="847"/>
    <cellStyle name="Акцент6 6" xfId="848"/>
    <cellStyle name="Акцент6 6 2" xfId="849"/>
    <cellStyle name="Акцент6 7" xfId="850"/>
    <cellStyle name="Акцент6 7 2" xfId="851"/>
    <cellStyle name="Акцент6 8" xfId="852"/>
    <cellStyle name="Акцент6 8 2" xfId="853"/>
    <cellStyle name="Акцент6 9" xfId="854"/>
    <cellStyle name="Акцент6 9 2" xfId="855"/>
    <cellStyle name="Беззащитный" xfId="856"/>
    <cellStyle name="Ввод  10" xfId="857"/>
    <cellStyle name="Ввод  11" xfId="858"/>
    <cellStyle name="Ввод  12" xfId="859"/>
    <cellStyle name="Ввод  13" xfId="860"/>
    <cellStyle name="Ввод  14" xfId="861"/>
    <cellStyle name="Ввод  2" xfId="862"/>
    <cellStyle name="Ввод  2 2" xfId="863"/>
    <cellStyle name="Ввод  2 3" xfId="864"/>
    <cellStyle name="Ввод  2 4" xfId="865"/>
    <cellStyle name="Ввод  2 5" xfId="866"/>
    <cellStyle name="Ввод  2 6" xfId="867"/>
    <cellStyle name="Ввод  2 7" xfId="868"/>
    <cellStyle name="Ввод  3" xfId="869"/>
    <cellStyle name="Ввод  3 2" xfId="870"/>
    <cellStyle name="Ввод  3_OREP.KU.2011.PLAN(v1.2)" xfId="871"/>
    <cellStyle name="Ввод  4" xfId="872"/>
    <cellStyle name="Ввод  4 2" xfId="873"/>
    <cellStyle name="Ввод  4_OREP.KU.2011.PLAN(v1.2)" xfId="874"/>
    <cellStyle name="Ввод  5" xfId="875"/>
    <cellStyle name="Ввод  5 2" xfId="876"/>
    <cellStyle name="Ввод  5_OREP.KU.2011.PLAN(v1.2)" xfId="877"/>
    <cellStyle name="Ввод  6" xfId="878"/>
    <cellStyle name="Ввод  6 2" xfId="879"/>
    <cellStyle name="Ввод  6_OREP.KU.2011.PLAN(v1.2)" xfId="880"/>
    <cellStyle name="Ввод  7" xfId="881"/>
    <cellStyle name="Ввод  7 2" xfId="882"/>
    <cellStyle name="Ввод  7_OREP.KU.2011.PLAN(v1.2)" xfId="883"/>
    <cellStyle name="Ввод  8" xfId="884"/>
    <cellStyle name="Ввод  8 2" xfId="885"/>
    <cellStyle name="Ввод  8_OREP.KU.2011.PLAN(v1.2)" xfId="886"/>
    <cellStyle name="Ввод  9" xfId="887"/>
    <cellStyle name="Ввод  9 2" xfId="888"/>
    <cellStyle name="Ввод  9_OREP.KU.2011.PLAN(v1.2)" xfId="889"/>
    <cellStyle name="Вывод 10" xfId="890"/>
    <cellStyle name="Вывод 11" xfId="891"/>
    <cellStyle name="Вывод 12" xfId="892"/>
    <cellStyle name="Вывод 13" xfId="893"/>
    <cellStyle name="Вывод 14" xfId="894"/>
    <cellStyle name="Вывод 2" xfId="895"/>
    <cellStyle name="Вывод 2 2" xfId="896"/>
    <cellStyle name="Вывод 2 3" xfId="897"/>
    <cellStyle name="Вывод 2 4" xfId="898"/>
    <cellStyle name="Вывод 2 5" xfId="899"/>
    <cellStyle name="Вывод 2 6" xfId="900"/>
    <cellStyle name="Вывод 2 7" xfId="901"/>
    <cellStyle name="Вывод 3" xfId="902"/>
    <cellStyle name="Вывод 3 2" xfId="903"/>
    <cellStyle name="Вывод 3_OREP.KU.2011.PLAN(v1.2)" xfId="904"/>
    <cellStyle name="Вывод 4" xfId="905"/>
    <cellStyle name="Вывод 4 2" xfId="906"/>
    <cellStyle name="Вывод 4_OREP.KU.2011.PLAN(v1.2)" xfId="907"/>
    <cellStyle name="Вывод 5" xfId="908"/>
    <cellStyle name="Вывод 5 2" xfId="909"/>
    <cellStyle name="Вывод 5_OREP.KU.2011.PLAN(v1.2)" xfId="910"/>
    <cellStyle name="Вывод 6" xfId="911"/>
    <cellStyle name="Вывод 6 2" xfId="912"/>
    <cellStyle name="Вывод 6_OREP.KU.2011.PLAN(v1.2)" xfId="913"/>
    <cellStyle name="Вывод 7" xfId="914"/>
    <cellStyle name="Вывод 7 2" xfId="915"/>
    <cellStyle name="Вывод 7_OREP.KU.2011.PLAN(v1.2)" xfId="916"/>
    <cellStyle name="Вывод 8" xfId="917"/>
    <cellStyle name="Вывод 8 2" xfId="918"/>
    <cellStyle name="Вывод 8_OREP.KU.2011.PLAN(v1.2)" xfId="919"/>
    <cellStyle name="Вывод 9" xfId="920"/>
    <cellStyle name="Вывод 9 2" xfId="921"/>
    <cellStyle name="Вывод 9_OREP.KU.2011.PLAN(v1.2)" xfId="922"/>
    <cellStyle name="Вычисление 10" xfId="923"/>
    <cellStyle name="Вычисление 11" xfId="924"/>
    <cellStyle name="Вычисление 12" xfId="925"/>
    <cellStyle name="Вычисление 13" xfId="926"/>
    <cellStyle name="Вычисление 14" xfId="927"/>
    <cellStyle name="Вычисление 2" xfId="928"/>
    <cellStyle name="Вычисление 2 2" xfId="929"/>
    <cellStyle name="Вычисление 2 3" xfId="930"/>
    <cellStyle name="Вычисление 2 4" xfId="931"/>
    <cellStyle name="Вычисление 2 5" xfId="932"/>
    <cellStyle name="Вычисление 2 6" xfId="933"/>
    <cellStyle name="Вычисление 2 7" xfId="934"/>
    <cellStyle name="Вычисление 3" xfId="935"/>
    <cellStyle name="Вычисление 3 2" xfId="936"/>
    <cellStyle name="Вычисление 3_OREP.KU.2011.PLAN(v1.2)" xfId="937"/>
    <cellStyle name="Вычисление 4" xfId="938"/>
    <cellStyle name="Вычисление 4 2" xfId="939"/>
    <cellStyle name="Вычисление 4_OREP.KU.2011.PLAN(v1.2)" xfId="940"/>
    <cellStyle name="Вычисление 5" xfId="941"/>
    <cellStyle name="Вычисление 5 2" xfId="942"/>
    <cellStyle name="Вычисление 5_OREP.KU.2011.PLAN(v1.2)" xfId="943"/>
    <cellStyle name="Вычисление 6" xfId="944"/>
    <cellStyle name="Вычисление 6 2" xfId="945"/>
    <cellStyle name="Вычисление 6_OREP.KU.2011.PLAN(v1.2)" xfId="946"/>
    <cellStyle name="Вычисление 7" xfId="947"/>
    <cellStyle name="Вычисление 7 2" xfId="948"/>
    <cellStyle name="Вычисление 7_OREP.KU.2011.PLAN(v1.2)" xfId="949"/>
    <cellStyle name="Вычисление 8" xfId="950"/>
    <cellStyle name="Вычисление 8 2" xfId="951"/>
    <cellStyle name="Вычисление 8_OREP.KU.2011.PLAN(v1.2)" xfId="952"/>
    <cellStyle name="Вычисление 9" xfId="953"/>
    <cellStyle name="Вычисление 9 2" xfId="954"/>
    <cellStyle name="Вычисление 9_OREP.KU.2011.PLAN(v1.2)" xfId="955"/>
    <cellStyle name="Гиперссылка 2" xfId="956"/>
    <cellStyle name="ДАТА" xfId="957"/>
    <cellStyle name="ДАТА 2" xfId="958"/>
    <cellStyle name="ДАТА 3" xfId="959"/>
    <cellStyle name="ДАТА 4" xfId="960"/>
    <cellStyle name="ДАТА 5" xfId="961"/>
    <cellStyle name="ДАТА 6" xfId="962"/>
    <cellStyle name="ДАТА 7" xfId="963"/>
    <cellStyle name="ДАТА 8" xfId="964"/>
    <cellStyle name="ДАТА_1" xfId="965"/>
    <cellStyle name="Денежный 2" xfId="966"/>
    <cellStyle name="ЗАГОЛОВОК1" xfId="967"/>
    <cellStyle name="ЗАГОЛОВОК2" xfId="968"/>
    <cellStyle name="Заголовок 1" xfId="969"/>
    <cellStyle name="Заголовок 1 10" xfId="970"/>
    <cellStyle name="Заголовок 1 11" xfId="971"/>
    <cellStyle name="Заголовок 1 12" xfId="972"/>
    <cellStyle name="Заголовок 1 13" xfId="973"/>
    <cellStyle name="Заголовок 1 14" xfId="974"/>
    <cellStyle name="Заголовок 1 2" xfId="975"/>
    <cellStyle name="Заголовок 1 2 2" xfId="976"/>
    <cellStyle name="Заголовок 1 2 3" xfId="977"/>
    <cellStyle name="Заголовок 1 2 4" xfId="978"/>
    <cellStyle name="Заголовок 1 2 5" xfId="979"/>
    <cellStyle name="Заголовок 1 2 6" xfId="980"/>
    <cellStyle name="Заголовок 1 2 7" xfId="981"/>
    <cellStyle name="Заголовок 1 3" xfId="982"/>
    <cellStyle name="Заголовок 1 3 2" xfId="983"/>
    <cellStyle name="Заголовок 1 3_OREP.KU.2011.PLAN(v1.2)" xfId="984"/>
    <cellStyle name="Заголовок 1 4" xfId="985"/>
    <cellStyle name="Заголовок 1 4 2" xfId="986"/>
    <cellStyle name="Заголовок 1 4_OREP.KU.2011.PLAN(v1.2)" xfId="987"/>
    <cellStyle name="Заголовок 1 5" xfId="988"/>
    <cellStyle name="Заголовок 1 5 2" xfId="989"/>
    <cellStyle name="Заголовок 1 5_OREP.KU.2011.PLAN(v1.2)" xfId="990"/>
    <cellStyle name="Заголовок 1 6" xfId="991"/>
    <cellStyle name="Заголовок 1 6 2" xfId="992"/>
    <cellStyle name="Заголовок 1 6_OREP.KU.2011.PLAN(v1.2)" xfId="993"/>
    <cellStyle name="Заголовок 1 7" xfId="994"/>
    <cellStyle name="Заголовок 1 7 2" xfId="995"/>
    <cellStyle name="Заголовок 1 7_OREP.KU.2011.PLAN(v1.2)" xfId="996"/>
    <cellStyle name="Заголовок 1 8" xfId="997"/>
    <cellStyle name="Заголовок 1 8 2" xfId="998"/>
    <cellStyle name="Заголовок 1 8_OREP.KU.2011.PLAN(v1.2)" xfId="999"/>
    <cellStyle name="Заголовок 1 9" xfId="1000"/>
    <cellStyle name="Заголовок 1 9 2" xfId="1001"/>
    <cellStyle name="Заголовок 1 9_OREP.KU.2011.PLAN(v1.2)" xfId="1002"/>
    <cellStyle name="Заголовок 2 10" xfId="1003"/>
    <cellStyle name="Заголовок 2 11" xfId="1004"/>
    <cellStyle name="Заголовок 2 12" xfId="1005"/>
    <cellStyle name="Заголовок 2 13" xfId="1006"/>
    <cellStyle name="Заголовок 2 14" xfId="1007"/>
    <cellStyle name="Заголовок 2 2" xfId="1008"/>
    <cellStyle name="Заголовок 2 2 2" xfId="1009"/>
    <cellStyle name="Заголовок 2 2 3" xfId="1010"/>
    <cellStyle name="Заголовок 2 2 4" xfId="1011"/>
    <cellStyle name="Заголовок 2 2 5" xfId="1012"/>
    <cellStyle name="Заголовок 2 2 6" xfId="1013"/>
    <cellStyle name="Заголовок 2 2 7" xfId="1014"/>
    <cellStyle name="Заголовок 2 3" xfId="1015"/>
    <cellStyle name="Заголовок 2 3 2" xfId="1016"/>
    <cellStyle name="Заголовок 2 3_OREP.KU.2011.PLAN(v1.2)" xfId="1017"/>
    <cellStyle name="Заголовок 2 4" xfId="1018"/>
    <cellStyle name="Заголовок 2 4 2" xfId="1019"/>
    <cellStyle name="Заголовок 2 4_OREP.KU.2011.PLAN(v1.2)" xfId="1020"/>
    <cellStyle name="Заголовок 2 5" xfId="1021"/>
    <cellStyle name="Заголовок 2 5 2" xfId="1022"/>
    <cellStyle name="Заголовок 2 5_OREP.KU.2011.PLAN(v1.2)" xfId="1023"/>
    <cellStyle name="Заголовок 2 6" xfId="1024"/>
    <cellStyle name="Заголовок 2 6 2" xfId="1025"/>
    <cellStyle name="Заголовок 2 6_OREP.KU.2011.PLAN(v1.2)" xfId="1026"/>
    <cellStyle name="Заголовок 2 7" xfId="1027"/>
    <cellStyle name="Заголовок 2 7 2" xfId="1028"/>
    <cellStyle name="Заголовок 2 7_OREP.KU.2011.PLAN(v1.2)" xfId="1029"/>
    <cellStyle name="Заголовок 2 8" xfId="1030"/>
    <cellStyle name="Заголовок 2 8 2" xfId="1031"/>
    <cellStyle name="Заголовок 2 8_OREP.KU.2011.PLAN(v1.2)" xfId="1032"/>
    <cellStyle name="Заголовок 2 9" xfId="1033"/>
    <cellStyle name="Заголовок 2 9 2" xfId="1034"/>
    <cellStyle name="Заголовок 2 9_OREP.KU.2011.PLAN(v1.2)" xfId="1035"/>
    <cellStyle name="Заголовок 3 10" xfId="1036"/>
    <cellStyle name="Заголовок 3 11" xfId="1037"/>
    <cellStyle name="Заголовок 3 12" xfId="1038"/>
    <cellStyle name="Заголовок 3 13" xfId="1039"/>
    <cellStyle name="Заголовок 3 14" xfId="1040"/>
    <cellStyle name="Заголовок 3 2" xfId="1041"/>
    <cellStyle name="Заголовок 3 2 2" xfId="1042"/>
    <cellStyle name="Заголовок 3 2 3" xfId="1043"/>
    <cellStyle name="Заголовок 3 2 4" xfId="1044"/>
    <cellStyle name="Заголовок 3 2 5" xfId="1045"/>
    <cellStyle name="Заголовок 3 2 6" xfId="1046"/>
    <cellStyle name="Заголовок 3 2 7" xfId="1047"/>
    <cellStyle name="Заголовок 3 3" xfId="1048"/>
    <cellStyle name="Заголовок 3 3 2" xfId="1049"/>
    <cellStyle name="Заголовок 3 3_OREP.KU.2011.PLAN(v1.2)" xfId="1050"/>
    <cellStyle name="Заголовок 3 4" xfId="1051"/>
    <cellStyle name="Заголовок 3 4 2" xfId="1052"/>
    <cellStyle name="Заголовок 3 4_OREP.KU.2011.PLAN(v1.2)" xfId="1053"/>
    <cellStyle name="Заголовок 3 5" xfId="1054"/>
    <cellStyle name="Заголовок 3 5 2" xfId="1055"/>
    <cellStyle name="Заголовок 3 5_OREP.KU.2011.PLAN(v1.2)" xfId="1056"/>
    <cellStyle name="Заголовок 3 6" xfId="1057"/>
    <cellStyle name="Заголовок 3 6 2" xfId="1058"/>
    <cellStyle name="Заголовок 3 6_OREP.KU.2011.PLAN(v1.2)" xfId="1059"/>
    <cellStyle name="Заголовок 3 7" xfId="1060"/>
    <cellStyle name="Заголовок 3 7 2" xfId="1061"/>
    <cellStyle name="Заголовок 3 7_OREP.KU.2011.PLAN(v1.2)" xfId="1062"/>
    <cellStyle name="Заголовок 3 8" xfId="1063"/>
    <cellStyle name="Заголовок 3 8 2" xfId="1064"/>
    <cellStyle name="Заголовок 3 8_OREP.KU.2011.PLAN(v1.2)" xfId="1065"/>
    <cellStyle name="Заголовок 3 9" xfId="1066"/>
    <cellStyle name="Заголовок 3 9 2" xfId="1067"/>
    <cellStyle name="Заголовок 3 9_OREP.KU.2011.PLAN(v1.2)" xfId="1068"/>
    <cellStyle name="Заголовок 4 10" xfId="1069"/>
    <cellStyle name="Заголовок 4 11" xfId="1070"/>
    <cellStyle name="Заголовок 4 12" xfId="1071"/>
    <cellStyle name="Заголовок 4 13" xfId="1072"/>
    <cellStyle name="Заголовок 4 14" xfId="1073"/>
    <cellStyle name="Заголовок 4 2" xfId="1074"/>
    <cellStyle name="Заголовок 4 2 2" xfId="1075"/>
    <cellStyle name="Заголовок 4 2 3" xfId="1076"/>
    <cellStyle name="Заголовок 4 2 4" xfId="1077"/>
    <cellStyle name="Заголовок 4 2 5" xfId="1078"/>
    <cellStyle name="Заголовок 4 2 6" xfId="1079"/>
    <cellStyle name="Заголовок 4 2 7" xfId="1080"/>
    <cellStyle name="Заголовок 4 3" xfId="1081"/>
    <cellStyle name="Заголовок 4 3 2" xfId="1082"/>
    <cellStyle name="Заголовок 4 4" xfId="1083"/>
    <cellStyle name="Заголовок 4 4 2" xfId="1084"/>
    <cellStyle name="Заголовок 4 5" xfId="1085"/>
    <cellStyle name="Заголовок 4 5 2" xfId="1086"/>
    <cellStyle name="Заголовок 4 6" xfId="1087"/>
    <cellStyle name="Заголовок 4 6 2" xfId="1088"/>
    <cellStyle name="Заголовок 4 7" xfId="1089"/>
    <cellStyle name="Заголовок 4 7 2" xfId="1090"/>
    <cellStyle name="Заголовок 4 8" xfId="1091"/>
    <cellStyle name="Заголовок 4 8 2" xfId="1092"/>
    <cellStyle name="Заголовок 4 9" xfId="1093"/>
    <cellStyle name="Заголовок 4 9 2" xfId="1094"/>
    <cellStyle name="ЗаголовокСтолбца" xfId="1095"/>
    <cellStyle name="Защитный" xfId="1096"/>
    <cellStyle name="Значение" xfId="1097"/>
    <cellStyle name="Зоголовок" xfId="1098"/>
    <cellStyle name="ИТОГОВЫЙ" xfId="1099"/>
    <cellStyle name="ИТОГОВЫЙ 2" xfId="1100"/>
    <cellStyle name="ИТОГОВЫЙ 3" xfId="1101"/>
    <cellStyle name="ИТОГОВЫЙ 4" xfId="1102"/>
    <cellStyle name="ИТОГОВЫЙ 5" xfId="1103"/>
    <cellStyle name="ИТОГОВЫЙ 6" xfId="1104"/>
    <cellStyle name="ИТОГОВЫЙ 7" xfId="1105"/>
    <cellStyle name="ИТОГОВЫЙ 8" xfId="1106"/>
    <cellStyle name="ИТОГОВЫЙ_1" xfId="1107"/>
    <cellStyle name="Итог 10" xfId="1108"/>
    <cellStyle name="Итог 11" xfId="1109"/>
    <cellStyle name="Итог 12" xfId="1110"/>
    <cellStyle name="Итог 13" xfId="1111"/>
    <cellStyle name="Итог 14" xfId="1112"/>
    <cellStyle name="Итог 2" xfId="1113"/>
    <cellStyle name="Итог 2 2" xfId="1114"/>
    <cellStyle name="Итог 2 3" xfId="1115"/>
    <cellStyle name="Итог 2 4" xfId="1116"/>
    <cellStyle name="Итог 2 5" xfId="1117"/>
    <cellStyle name="Итог 2 6" xfId="1118"/>
    <cellStyle name="Итог 2 7" xfId="1119"/>
    <cellStyle name="Итог 3" xfId="1120"/>
    <cellStyle name="Итог 3 2" xfId="1121"/>
    <cellStyle name="Итог 3_OREP.KU.2011.PLAN(v1.2)" xfId="1122"/>
    <cellStyle name="Итог 4" xfId="1123"/>
    <cellStyle name="Итог 4 2" xfId="1124"/>
    <cellStyle name="Итог 4_OREP.KU.2011.PLAN(v1.2)" xfId="1125"/>
    <cellStyle name="Итог 5" xfId="1126"/>
    <cellStyle name="Итог 5 2" xfId="1127"/>
    <cellStyle name="Итог 5_OREP.KU.2011.PLAN(v1.2)" xfId="1128"/>
    <cellStyle name="Итог 6" xfId="1129"/>
    <cellStyle name="Итог 6 2" xfId="1130"/>
    <cellStyle name="Итог 6_OREP.KU.2011.PLAN(v1.2)" xfId="1131"/>
    <cellStyle name="Итог 7" xfId="1132"/>
    <cellStyle name="Итог 7 2" xfId="1133"/>
    <cellStyle name="Итог 7_OREP.KU.2011.PLAN(v1.2)" xfId="1134"/>
    <cellStyle name="Итог 8" xfId="1135"/>
    <cellStyle name="Итог 8 2" xfId="1136"/>
    <cellStyle name="Итог 8_OREP.KU.2011.PLAN(v1.2)" xfId="1137"/>
    <cellStyle name="Итог 9" xfId="1138"/>
    <cellStyle name="Итог 9 2" xfId="1139"/>
    <cellStyle name="Итог 9_OREP.KU.2011.PLAN(v1.2)" xfId="1140"/>
    <cellStyle name="Итого" xfId="1141"/>
    <cellStyle name="Контрольная ячейка 10" xfId="1142"/>
    <cellStyle name="Контрольная ячейка 11" xfId="1143"/>
    <cellStyle name="Контрольная ячейка 12" xfId="1144"/>
    <cellStyle name="Контрольная ячейка 13" xfId="1145"/>
    <cellStyle name="Контрольная ячейка 14" xfId="1146"/>
    <cellStyle name="Контрольная ячейка 2" xfId="1147"/>
    <cellStyle name="Контрольная ячейка 2 2" xfId="1148"/>
    <cellStyle name="Контрольная ячейка 2 3" xfId="1149"/>
    <cellStyle name="Контрольная ячейка 2 4" xfId="1150"/>
    <cellStyle name="Контрольная ячейка 2 5" xfId="1151"/>
    <cellStyle name="Контрольная ячейка 2 6" xfId="1152"/>
    <cellStyle name="Контрольная ячейка 2 7" xfId="1153"/>
    <cellStyle name="Контрольная ячейка 3" xfId="1154"/>
    <cellStyle name="Контрольная ячейка 3 2" xfId="1155"/>
    <cellStyle name="Контрольная ячейка 3_OREP.KU.2011.PLAN(v1.2)" xfId="1156"/>
    <cellStyle name="Контрольная ячейка 4" xfId="1157"/>
    <cellStyle name="Контрольная ячейка 4 2" xfId="1158"/>
    <cellStyle name="Контрольная ячейка 4_OREP.KU.2011.PLAN(v1.2)" xfId="1159"/>
    <cellStyle name="Контрольная ячейка 5" xfId="1160"/>
    <cellStyle name="Контрольная ячейка 5 2" xfId="1161"/>
    <cellStyle name="Контрольная ячейка 5_OREP.KU.2011.PLAN(v1.2)" xfId="1162"/>
    <cellStyle name="Контрольная ячейка 6" xfId="1163"/>
    <cellStyle name="Контрольная ячейка 6 2" xfId="1164"/>
    <cellStyle name="Контрольная ячейка 6_OREP.KU.2011.PLAN(v1.2)" xfId="1165"/>
    <cellStyle name="Контрольная ячейка 7" xfId="1166"/>
    <cellStyle name="Контрольная ячейка 7 2" xfId="1167"/>
    <cellStyle name="Контрольная ячейка 7_OREP.KU.2011.PLAN(v1.2)" xfId="1168"/>
    <cellStyle name="Контрольная ячейка 8" xfId="1169"/>
    <cellStyle name="Контрольная ячейка 8 2" xfId="1170"/>
    <cellStyle name="Контрольная ячейка 8_OREP.KU.2011.PLAN(v1.2)" xfId="1171"/>
    <cellStyle name="Контрольная ячейка 9" xfId="1172"/>
    <cellStyle name="Контрольная ячейка 9 2" xfId="1173"/>
    <cellStyle name="Контрольная ячейка 9_OREP.KU.2011.PLAN(v1.2)" xfId="1174"/>
    <cellStyle name="Мои наименования показателей" xfId="1175"/>
    <cellStyle name="Мои наименования показателей 2" xfId="1176"/>
    <cellStyle name="Мои наименования показателей 2 2" xfId="1177"/>
    <cellStyle name="Мои наименования показателей 2 3" xfId="1178"/>
    <cellStyle name="Мои наименования показателей 2 4" xfId="1179"/>
    <cellStyle name="Мои наименования показателей 2 5" xfId="1180"/>
    <cellStyle name="Мои наименования показателей 2 6" xfId="1181"/>
    <cellStyle name="Мои наименования показателей 2 7" xfId="1182"/>
    <cellStyle name="Мои наименования показателей 2 8" xfId="1183"/>
    <cellStyle name="Мои наименования показателей 2_1" xfId="1184"/>
    <cellStyle name="Мои наименования показателей 3" xfId="1185"/>
    <cellStyle name="Мои наименования показателей 3 2" xfId="1186"/>
    <cellStyle name="Мои наименования показателей 3 3" xfId="1187"/>
    <cellStyle name="Мои наименования показателей 3 4" xfId="1188"/>
    <cellStyle name="Мои наименования показателей 3 5" xfId="1189"/>
    <cellStyle name="Мои наименования показателей 3 6" xfId="1190"/>
    <cellStyle name="Мои наименования показателей 3 7" xfId="1191"/>
    <cellStyle name="Мои наименования показателей 3 8" xfId="1192"/>
    <cellStyle name="Мои наименования показателей 3_1" xfId="1193"/>
    <cellStyle name="Мои наименования показателей 4" xfId="1194"/>
    <cellStyle name="Мои наименования показателей 4 2" xfId="1195"/>
    <cellStyle name="Мои наименования показателей 4 3" xfId="1196"/>
    <cellStyle name="Мои наименования показателей 4 4" xfId="1197"/>
    <cellStyle name="Мои наименования показателей 4 5" xfId="1198"/>
    <cellStyle name="Мои наименования показателей 4 6" xfId="1199"/>
    <cellStyle name="Мои наименования показателей 4 7" xfId="1200"/>
    <cellStyle name="Мои наименования показателей 4 8" xfId="1201"/>
    <cellStyle name="Мои наименования показателей 4_1" xfId="1202"/>
    <cellStyle name="Мои наименования показателей 5" xfId="1203"/>
    <cellStyle name="Мои наименования показателей 5 2" xfId="1204"/>
    <cellStyle name="Мои наименования показателей 5 3" xfId="1205"/>
    <cellStyle name="Мои наименования показателей 5 4" xfId="1206"/>
    <cellStyle name="Мои наименования показателей 5 5" xfId="1207"/>
    <cellStyle name="Мои наименования показателей 5 6" xfId="1208"/>
    <cellStyle name="Мои наименования показателей 5 7" xfId="1209"/>
    <cellStyle name="Мои наименования показателей 5 8" xfId="1210"/>
    <cellStyle name="Мои наименования показателей 5_1" xfId="1211"/>
    <cellStyle name="Мои наименования показателей 6" xfId="1212"/>
    <cellStyle name="Мои наименования показателей 6 2" xfId="1213"/>
    <cellStyle name="Мои наименования показателей 6_TSET.NET.2.02" xfId="1214"/>
    <cellStyle name="Мои наименования показателей 7" xfId="1215"/>
    <cellStyle name="Мои наименования показателей 7 2" xfId="1216"/>
    <cellStyle name="Мои наименования показателей 7_TSET.NET.2.02" xfId="1217"/>
    <cellStyle name="Мои наименования показателей 8" xfId="1218"/>
    <cellStyle name="Мои наименования показателей 8 2" xfId="1219"/>
    <cellStyle name="Мои наименования показателей 8_TSET.NET.2.02" xfId="1220"/>
    <cellStyle name="Мои наименования показателей_46TE.RT(v1.0)" xfId="1221"/>
    <cellStyle name="Мой заголовок" xfId="1222"/>
    <cellStyle name="Мой заголовок листа" xfId="1223"/>
    <cellStyle name="Название 10" xfId="1224"/>
    <cellStyle name="Название 11" xfId="1225"/>
    <cellStyle name="Название 12" xfId="1226"/>
    <cellStyle name="Название 13" xfId="1227"/>
    <cellStyle name="Название 14" xfId="1228"/>
    <cellStyle name="Название 2" xfId="1229"/>
    <cellStyle name="Название 2 2" xfId="1230"/>
    <cellStyle name="Название 2 3" xfId="1231"/>
    <cellStyle name="Название 2 4" xfId="1232"/>
    <cellStyle name="Название 2 5" xfId="1233"/>
    <cellStyle name="Название 2 6" xfId="1234"/>
    <cellStyle name="Название 2 7" xfId="1235"/>
    <cellStyle name="Название 3" xfId="1236"/>
    <cellStyle name="Название 3 2" xfId="1237"/>
    <cellStyle name="Название 4" xfId="1238"/>
    <cellStyle name="Название 4 2" xfId="1239"/>
    <cellStyle name="Название 5" xfId="1240"/>
    <cellStyle name="Название 5 2" xfId="1241"/>
    <cellStyle name="Название 6" xfId="1242"/>
    <cellStyle name="Название 6 2" xfId="1243"/>
    <cellStyle name="Название 7" xfId="1244"/>
    <cellStyle name="Название 7 2" xfId="1245"/>
    <cellStyle name="Название 8" xfId="1246"/>
    <cellStyle name="Название 8 2" xfId="1247"/>
    <cellStyle name="Название 9" xfId="1248"/>
    <cellStyle name="Название 9 2" xfId="1249"/>
    <cellStyle name="Нейтральный 10" xfId="1250"/>
    <cellStyle name="Нейтральный 11" xfId="1251"/>
    <cellStyle name="Нейтральный 12" xfId="1252"/>
    <cellStyle name="Нейтральный 13" xfId="1253"/>
    <cellStyle name="Нейтральный 14" xfId="1254"/>
    <cellStyle name="Нейтральный 2" xfId="1255"/>
    <cellStyle name="Нейтральный 2 2" xfId="1256"/>
    <cellStyle name="Нейтральный 2 3" xfId="1257"/>
    <cellStyle name="Нейтральный 2 4" xfId="1258"/>
    <cellStyle name="Нейтральный 2 5" xfId="1259"/>
    <cellStyle name="Нейтральный 2 6" xfId="1260"/>
    <cellStyle name="Нейтральный 2 7" xfId="1261"/>
    <cellStyle name="Нейтральный 3" xfId="1262"/>
    <cellStyle name="Нейтральный 3 2" xfId="1263"/>
    <cellStyle name="Нейтральный 4" xfId="1264"/>
    <cellStyle name="Нейтральный 4 2" xfId="1265"/>
    <cellStyle name="Нейтральный 5" xfId="1266"/>
    <cellStyle name="Нейтральный 5 2" xfId="1267"/>
    <cellStyle name="Нейтральный 6" xfId="1268"/>
    <cellStyle name="Нейтральный 6 2" xfId="1269"/>
    <cellStyle name="Нейтральный 7" xfId="1270"/>
    <cellStyle name="Нейтральный 7 2" xfId="1271"/>
    <cellStyle name="Нейтральный 8" xfId="1272"/>
    <cellStyle name="Нейтральный 8 2" xfId="1273"/>
    <cellStyle name="Нейтральный 9" xfId="1274"/>
    <cellStyle name="Нейтральный 9 2" xfId="1275"/>
    <cellStyle name="Обычный 10" xfId="1276"/>
    <cellStyle name="Обычный 11" xfId="1277"/>
    <cellStyle name="Обычный 12" xfId="1278"/>
    <cellStyle name="Обычный 16" xfId="1279"/>
    <cellStyle name="Обычный 16 10" xfId="1280"/>
    <cellStyle name="Обычный 2" xfId="1281"/>
    <cellStyle name="Обычный 2 10" xfId="1282"/>
    <cellStyle name="Обычный 2 11" xfId="1283"/>
    <cellStyle name="Обычный 2 2" xfId="1284"/>
    <cellStyle name="Обычный 2 2 2" xfId="1285"/>
    <cellStyle name="Обычный 2 3" xfId="1286"/>
    <cellStyle name="Обычный 2 3 2" xfId="1287"/>
    <cellStyle name="Обычный 2 4" xfId="1288"/>
    <cellStyle name="Обычный 2 4 2" xfId="1289"/>
    <cellStyle name="Обычный 2 5" xfId="1290"/>
    <cellStyle name="Обычный 2 5 2" xfId="1291"/>
    <cellStyle name="Обычный 2 6" xfId="1292"/>
    <cellStyle name="Обычный 2 6 2" xfId="1293"/>
    <cellStyle name="Обычный 2 7" xfId="1294"/>
    <cellStyle name="Обычный 2 8" xfId="1295"/>
    <cellStyle name="Обычный 2 9" xfId="1296"/>
    <cellStyle name="Обычный 3" xfId="1297"/>
    <cellStyle name="Обычный 3 2" xfId="1298"/>
    <cellStyle name="Обычный 3 3" xfId="1299"/>
    <cellStyle name="Обычный 4" xfId="1300"/>
    <cellStyle name="Обычный 4 2" xfId="1301"/>
    <cellStyle name="Обычный 4_EE.20.MET.SVOD.2.73_v0.1" xfId="1302"/>
    <cellStyle name="Обычный 5" xfId="1303"/>
    <cellStyle name="Обычный 6" xfId="1304"/>
    <cellStyle name="Обычный 7" xfId="1305"/>
    <cellStyle name="Обычный 8" xfId="1306"/>
    <cellStyle name="Обычный 9" xfId="1307"/>
    <cellStyle name="Обычный_GRES" xfId="1308"/>
    <cellStyle name="Обычный_Kom kompleks" xfId="1309"/>
    <cellStyle name="Обычный_Котёл потребление Сетей(шаблон)" xfId="1310"/>
    <cellStyle name="Обычный_Тепло" xfId="1311"/>
    <cellStyle name="Плохой 10" xfId="1312"/>
    <cellStyle name="Плохой 11" xfId="1313"/>
    <cellStyle name="Плохой 12" xfId="1314"/>
    <cellStyle name="Плохой 13" xfId="1315"/>
    <cellStyle name="Плохой 14" xfId="1316"/>
    <cellStyle name="Плохой 2" xfId="1317"/>
    <cellStyle name="Плохой 2 2" xfId="1318"/>
    <cellStyle name="Плохой 2 3" xfId="1319"/>
    <cellStyle name="Плохой 2 4" xfId="1320"/>
    <cellStyle name="Плохой 2 5" xfId="1321"/>
    <cellStyle name="Плохой 2 6" xfId="1322"/>
    <cellStyle name="Плохой 2 7" xfId="1323"/>
    <cellStyle name="Плохой 3" xfId="1324"/>
    <cellStyle name="Плохой 3 2" xfId="1325"/>
    <cellStyle name="Плохой 4" xfId="1326"/>
    <cellStyle name="Плохой 4 2" xfId="1327"/>
    <cellStyle name="Плохой 5" xfId="1328"/>
    <cellStyle name="Плохой 5 2" xfId="1329"/>
    <cellStyle name="Плохой 6" xfId="1330"/>
    <cellStyle name="Плохой 6 2" xfId="1331"/>
    <cellStyle name="Плохой 7" xfId="1332"/>
    <cellStyle name="Плохой 7 2" xfId="1333"/>
    <cellStyle name="Плохой 8" xfId="1334"/>
    <cellStyle name="Плохой 8 2" xfId="1335"/>
    <cellStyle name="Плохой 9" xfId="1336"/>
    <cellStyle name="Плохой 9 2" xfId="1337"/>
    <cellStyle name="По центру с переносом" xfId="1338"/>
    <cellStyle name="По ширине с переносом" xfId="1339"/>
    <cellStyle name="Поле ввода" xfId="1340"/>
    <cellStyle name="Пояснение 10" xfId="1341"/>
    <cellStyle name="Пояснение 11" xfId="1342"/>
    <cellStyle name="Пояснение 12" xfId="1343"/>
    <cellStyle name="Пояснение 13" xfId="1344"/>
    <cellStyle name="Пояснение 14" xfId="1345"/>
    <cellStyle name="Пояснение 2" xfId="1346"/>
    <cellStyle name="Пояснение 2 2" xfId="1347"/>
    <cellStyle name="Пояснение 2 3" xfId="1348"/>
    <cellStyle name="Пояснение 2 4" xfId="1349"/>
    <cellStyle name="Пояснение 2 5" xfId="1350"/>
    <cellStyle name="Пояснение 2 6" xfId="1351"/>
    <cellStyle name="Пояснение 2 7" xfId="1352"/>
    <cellStyle name="Пояснение 3" xfId="1353"/>
    <cellStyle name="Пояснение 3 2" xfId="1354"/>
    <cellStyle name="Пояснение 4" xfId="1355"/>
    <cellStyle name="Пояснение 4 2" xfId="1356"/>
    <cellStyle name="Пояснение 5" xfId="1357"/>
    <cellStyle name="Пояснение 5 2" xfId="1358"/>
    <cellStyle name="Пояснение 6" xfId="1359"/>
    <cellStyle name="Пояснение 6 2" xfId="1360"/>
    <cellStyle name="Пояснение 7" xfId="1361"/>
    <cellStyle name="Пояснение 7 2" xfId="1362"/>
    <cellStyle name="Пояснение 8" xfId="1363"/>
    <cellStyle name="Пояснение 8 2" xfId="1364"/>
    <cellStyle name="Пояснение 9" xfId="1365"/>
    <cellStyle name="Пояснение 9 2" xfId="1366"/>
    <cellStyle name="Примечание 10" xfId="1367"/>
    <cellStyle name="Примечание 10 2" xfId="1368"/>
    <cellStyle name="Примечание 10_OREP.KU.2011.PLAN(v1.2)" xfId="1369"/>
    <cellStyle name="Примечание 11" xfId="1370"/>
    <cellStyle name="Примечание 11 2" xfId="1371"/>
    <cellStyle name="Примечание 11_OREP.KU.2011.PLAN(v1.2)" xfId="1372"/>
    <cellStyle name="Примечание 12" xfId="1373"/>
    <cellStyle name="Примечание 12 2" xfId="1374"/>
    <cellStyle name="Примечание 12_OREP.KU.2011.PLAN(v1.2)" xfId="1375"/>
    <cellStyle name="Примечание 13" xfId="1376"/>
    <cellStyle name="Примечание 14" xfId="1377"/>
    <cellStyle name="Примечание 15" xfId="1378"/>
    <cellStyle name="Примечание 16" xfId="1379"/>
    <cellStyle name="Примечание 17" xfId="1380"/>
    <cellStyle name="Примечание 2" xfId="1381"/>
    <cellStyle name="Примечание 2 10" xfId="1382"/>
    <cellStyle name="Примечание 2 11" xfId="1383"/>
    <cellStyle name="Примечание 2 12" xfId="1384"/>
    <cellStyle name="Примечание 2 13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3" xfId="1394"/>
    <cellStyle name="Примечание 3 2" xfId="1395"/>
    <cellStyle name="Примечание 3 3" xfId="1396"/>
    <cellStyle name="Примечание 3 4" xfId="1397"/>
    <cellStyle name="Примечание 3 5" xfId="1398"/>
    <cellStyle name="Примечание 3 6" xfId="1399"/>
    <cellStyle name="Примечание 3 7" xfId="1400"/>
    <cellStyle name="Примечание 3 8" xfId="1401"/>
    <cellStyle name="Примечание 3_OREP.KU.2011.PLAN(v1.0)" xfId="1402"/>
    <cellStyle name="Примечание 4" xfId="1403"/>
    <cellStyle name="Примечание 4 2" xfId="1404"/>
    <cellStyle name="Примечание 4 3" xfId="1405"/>
    <cellStyle name="Примечание 4 4" xfId="1406"/>
    <cellStyle name="Примечание 4 5" xfId="1407"/>
    <cellStyle name="Примечание 4 6" xfId="1408"/>
    <cellStyle name="Примечание 4 7" xfId="1409"/>
    <cellStyle name="Примечание 4 8" xfId="1410"/>
    <cellStyle name="Примечание 4_OREP.KU.2011.PLAN(v1.0)" xfId="1411"/>
    <cellStyle name="Примечание 5" xfId="1412"/>
    <cellStyle name="Примечание 5 2" xfId="1413"/>
    <cellStyle name="Примечание 5 3" xfId="1414"/>
    <cellStyle name="Примечание 5 4" xfId="1415"/>
    <cellStyle name="Примечание 5 5" xfId="1416"/>
    <cellStyle name="Примечание 5 6" xfId="1417"/>
    <cellStyle name="Примечание 5 7" xfId="1418"/>
    <cellStyle name="Примечание 5 8" xfId="1419"/>
    <cellStyle name="Примечание 5_OREP.KU.2011.PLAN(v1.0)" xfId="1420"/>
    <cellStyle name="Примечание 6" xfId="1421"/>
    <cellStyle name="Примечание 6 2" xfId="1422"/>
    <cellStyle name="Примечание 6_OREP.KU.2011.PLAN(v1.2)" xfId="1423"/>
    <cellStyle name="Примечание 7" xfId="1424"/>
    <cellStyle name="Примечание 7 2" xfId="1425"/>
    <cellStyle name="Примечание 7_OREP.KU.2011.PLAN(v1.2)" xfId="1426"/>
    <cellStyle name="Примечание 8" xfId="1427"/>
    <cellStyle name="Примечание 8 2" xfId="1428"/>
    <cellStyle name="Примечание 8_OREP.KU.2011.PLAN(v1.2)" xfId="1429"/>
    <cellStyle name="Примечание 9" xfId="1430"/>
    <cellStyle name="Примечание 9 2" xfId="1431"/>
    <cellStyle name="Примечание 9_OREP.KU.2011.PLAN(v1.2)" xfId="1432"/>
    <cellStyle name="Процентный 2" xfId="1433"/>
    <cellStyle name="Процентный 2 2" xfId="1434"/>
    <cellStyle name="Процентный 2 3" xfId="1435"/>
    <cellStyle name="Процентный 3" xfId="1436"/>
    <cellStyle name="Процентный 4" xfId="1437"/>
    <cellStyle name="Процентный 5" xfId="1438"/>
    <cellStyle name="Процентный 5 2" xfId="1439"/>
    <cellStyle name="Связанная ячейка 10" xfId="1440"/>
    <cellStyle name="Связанная ячейка 11" xfId="1441"/>
    <cellStyle name="Связанная ячейка 12" xfId="1442"/>
    <cellStyle name="Связанная ячейка 13" xfId="1443"/>
    <cellStyle name="Связанная ячейка 14" xfId="1444"/>
    <cellStyle name="Связанная ячейка 2" xfId="1445"/>
    <cellStyle name="Связанная ячейка 2 2" xfId="1446"/>
    <cellStyle name="Связанная ячейка 2 3" xfId="1447"/>
    <cellStyle name="Связанная ячейка 2 4" xfId="1448"/>
    <cellStyle name="Связанная ячейка 2 5" xfId="1449"/>
    <cellStyle name="Связанная ячейка 2 6" xfId="1450"/>
    <cellStyle name="Связанная ячейка 2 7" xfId="1451"/>
    <cellStyle name="Связанная ячейка 3" xfId="1452"/>
    <cellStyle name="Связанная ячейка 3 2" xfId="1453"/>
    <cellStyle name="Связанная ячейка 3_OREP.KU.2011.PLAN(v1.2)" xfId="1454"/>
    <cellStyle name="Связанная ячейка 4" xfId="1455"/>
    <cellStyle name="Связанная ячейка 4 2" xfId="1456"/>
    <cellStyle name="Связанная ячейка 4_OREP.KU.2011.PLAN(v1.2)" xfId="1457"/>
    <cellStyle name="Связанная ячейка 5" xfId="1458"/>
    <cellStyle name="Связанная ячейка 5 2" xfId="1459"/>
    <cellStyle name="Связанная ячейка 5_OREP.KU.2011.PLAN(v1.2)" xfId="1460"/>
    <cellStyle name="Связанная ячейка 6" xfId="1461"/>
    <cellStyle name="Связанная ячейка 6 2" xfId="1462"/>
    <cellStyle name="Связанная ячейка 6_OREP.KU.2011.PLAN(v1.2)" xfId="1463"/>
    <cellStyle name="Связанная ячейка 7" xfId="1464"/>
    <cellStyle name="Связанная ячейка 7 2" xfId="1465"/>
    <cellStyle name="Связанная ячейка 7_OREP.KU.2011.PLAN(v1.2)" xfId="1466"/>
    <cellStyle name="Связанная ячейка 8" xfId="1467"/>
    <cellStyle name="Связанная ячейка 8 2" xfId="1468"/>
    <cellStyle name="Связанная ячейка 8_OREP.KU.2011.PLAN(v1.2)" xfId="1469"/>
    <cellStyle name="Связанная ячейка 9" xfId="1470"/>
    <cellStyle name="Связанная ячейка 9 2" xfId="1471"/>
    <cellStyle name="Связанная ячейка 9_OREP.KU.2011.PLAN(v1.2)" xfId="1472"/>
    <cellStyle name="Стиль 1" xfId="1473"/>
    <cellStyle name="Стиль 1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предупреждения 10" xfId="1483"/>
    <cellStyle name="Текст предупреждения 11" xfId="1484"/>
    <cellStyle name="Текст предупреждения 12" xfId="1485"/>
    <cellStyle name="Текст предупреждения 13" xfId="1486"/>
    <cellStyle name="Текст предупреждения 14" xfId="1487"/>
    <cellStyle name="Текст предупреждения 2" xfId="1488"/>
    <cellStyle name="Текст предупреждения 2 2" xfId="1489"/>
    <cellStyle name="Текст предупреждения 2 3" xfId="1490"/>
    <cellStyle name="Текст предупреждения 2 4" xfId="1491"/>
    <cellStyle name="Текст предупреждения 2 5" xfId="1492"/>
    <cellStyle name="Текст предупреждения 2 6" xfId="1493"/>
    <cellStyle name="Текст предупреждения 2 7" xfId="1494"/>
    <cellStyle name="Текст предупреждения 3" xfId="1495"/>
    <cellStyle name="Текст предупреждения 3 2" xfId="1496"/>
    <cellStyle name="Текст предупреждения 4" xfId="1497"/>
    <cellStyle name="Текст предупреждения 4 2" xfId="1498"/>
    <cellStyle name="Текст предупреждения 5" xfId="1499"/>
    <cellStyle name="Текст предупреждения 5 2" xfId="1500"/>
    <cellStyle name="Текст предупреждения 6" xfId="1501"/>
    <cellStyle name="Текст предупреждения 6 2" xfId="1502"/>
    <cellStyle name="Текст предупреждения 7" xfId="1503"/>
    <cellStyle name="Текст предупреждения 7 2" xfId="1504"/>
    <cellStyle name="Текст предупреждения 8" xfId="1505"/>
    <cellStyle name="Текст предупреждения 8 2" xfId="1506"/>
    <cellStyle name="Текст предупреждения 9" xfId="1507"/>
    <cellStyle name="Текст предупреждения 9 2" xfId="1508"/>
    <cellStyle name="Текст предупреждения 9 2 3" xfId="1509"/>
    <cellStyle name="Текстовый" xfId="1510"/>
    <cellStyle name="Текстовый 2" xfId="1511"/>
    <cellStyle name="Текстовый 3" xfId="1512"/>
    <cellStyle name="Текстовый 4" xfId="1513"/>
    <cellStyle name="Текстовый 5" xfId="1514"/>
    <cellStyle name="Текстовый 6" xfId="1515"/>
    <cellStyle name="Текстовый 7" xfId="1516"/>
    <cellStyle name="Текстовый 8" xfId="1517"/>
    <cellStyle name="Текстовый_1" xfId="1518"/>
    <cellStyle name="Тысячи [0]_22гк" xfId="1519"/>
    <cellStyle name="Тысячи_22гк" xfId="1520"/>
    <cellStyle name="ФИКСИРОВАННЫЙ" xfId="1521"/>
    <cellStyle name="ФИКСИРОВАННЫЙ 2" xfId="1522"/>
    <cellStyle name="ФИКСИРОВАННЫЙ 3" xfId="1523"/>
    <cellStyle name="ФИКСИРОВАННЫЙ 4" xfId="1524"/>
    <cellStyle name="ФИКСИРОВАННЫЙ 5" xfId="1525"/>
    <cellStyle name="ФИКСИРОВАННЫЙ 6" xfId="1526"/>
    <cellStyle name="ФИКСИРОВАННЫЙ 7" xfId="1527"/>
    <cellStyle name="ФИКСИРОВАННЫЙ 8" xfId="1528"/>
    <cellStyle name="ФИКСИРОВАННЫЙ_1" xfId="1529"/>
    <cellStyle name="Финансовый 2" xfId="1530"/>
    <cellStyle name="Финансовый 2 2" xfId="1531"/>
    <cellStyle name="Финансовый 3" xfId="1532"/>
    <cellStyle name="Финансовый 4" xfId="1533"/>
    <cellStyle name="Финансовый 5" xfId="1534"/>
    <cellStyle name="Формула" xfId="1535"/>
    <cellStyle name="Формула 2" xfId="1536"/>
    <cellStyle name="Формула_A РТ 2009 Рязаньэнерго" xfId="1537"/>
    <cellStyle name="ФормулаВБ" xfId="1538"/>
    <cellStyle name="ФормулаНаКонтроль" xfId="1539"/>
    <cellStyle name="Хороший 10" xfId="1540"/>
    <cellStyle name="Хороший 11" xfId="1541"/>
    <cellStyle name="Хороший 12" xfId="1542"/>
    <cellStyle name="Хороший 13" xfId="1543"/>
    <cellStyle name="Хороший 14" xfId="1544"/>
    <cellStyle name="Хороший 2" xfId="1545"/>
    <cellStyle name="Хороший 2 2" xfId="1546"/>
    <cellStyle name="Хороший 2 3" xfId="1547"/>
    <cellStyle name="Хороший 2 4" xfId="1548"/>
    <cellStyle name="Хороший 2 5" xfId="1549"/>
    <cellStyle name="Хороший 2 6" xfId="1550"/>
    <cellStyle name="Хороший 2 7" xfId="1551"/>
    <cellStyle name="Хороший 3" xfId="1552"/>
    <cellStyle name="Хороший 3 2" xfId="1553"/>
    <cellStyle name="Хороший 4" xfId="1554"/>
    <cellStyle name="Хороший 4 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01D\Users\Users\Public\Documents\&#1054;&#1073;&#1097;&#1072;&#1103;\&#1045;&#1048;&#1040;&#1057;\&#1087;&#1083;&#1072;&#1090;&#1077;&#1078;&#1080;%20&#1075;&#1088;&#1072;&#1078;&#1076;&#1072;&#1085;%20&#1085;&#1072;%202011%20&#1075;&#1086;&#1076;\OREP.KU.2011.PLAN(v1.2)%20&#1075;.%20&#1040;&#1076;&#1099;&#1075;&#1077;&#1081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7;&#1083;&#1077;&#1088;&#1084;&#1077;&#1089;&#1089;&#1082;&#1072;&#1103;\20172018&#1082;&#1086;&#1088;&#1088;&#1077;&#1082;&#1090;%20&#1088;&#1072;&#1089;&#1095;&#1077;&#1090;&#1042;&#1057;%20&#1052;&#1055;%20&#1050;&#1077;&#1083;&#1077;&#1088;&#1084;&#1077;&#1089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 МО"/>
      <sheetName val="КУ СРЕД 1"/>
      <sheetName val="КУ МАКС 1"/>
      <sheetName val="Комментарии 1"/>
      <sheetName val="КУ СРЕД 2"/>
      <sheetName val="КУ МАКС 2"/>
      <sheetName val="Комментарии 2"/>
      <sheetName val="КУ СРЕД 3"/>
      <sheetName val="КУ МАКС 3"/>
      <sheetName val="Комментарии 3"/>
      <sheetName val="КУ СРЕД 4"/>
      <sheetName val="КУ МАКС 4"/>
      <sheetName val="Комментарии 4"/>
      <sheetName val="КУ СРЕД 5"/>
      <sheetName val="КУ МАКС 5"/>
      <sheetName val="Комментарии 5"/>
      <sheetName val="КУ СРЕД 6"/>
      <sheetName val="КУ МАКС 6"/>
      <sheetName val="Комментарии 6"/>
      <sheetName val="КУ СРЕД 7"/>
      <sheetName val="КУ МАКС 7"/>
      <sheetName val="Комментарии 7"/>
      <sheetName val="КУ СРЕД 8"/>
      <sheetName val="КУ МАКС 8"/>
      <sheetName val="Комментарии 8"/>
      <sheetName val="КУ СРЕД 9"/>
      <sheetName val="КУ МАКС 9"/>
      <sheetName val="Комментарии 9"/>
      <sheetName val="КУ СРЕД 10"/>
      <sheetName val="КУ МАКС 10"/>
      <sheetName val="Комментарии 10"/>
      <sheetName val="КУ СРЕД 11"/>
      <sheetName val="КУ МАКС 11"/>
      <sheetName val="Комментарии 11"/>
      <sheetName val="КУ СРЕД 12"/>
      <sheetName val="КУ МАКС 12"/>
      <sheetName val="Комментарии 12"/>
      <sheetName val="КУ СРЕД 13"/>
      <sheetName val="КУ МАКС 13"/>
      <sheetName val="Комментарии 13"/>
      <sheetName val="КУ СРЕД 14"/>
      <sheetName val="КУ МАКС 14"/>
      <sheetName val="Комментарии 14"/>
      <sheetName val="КУ СРЕД 15"/>
      <sheetName val="КУ МАКС 15"/>
      <sheetName val="Комментарии 15"/>
      <sheetName val="КУ СРЕД 16"/>
      <sheetName val="КУ МАКС 16"/>
      <sheetName val="Комментарии 16"/>
      <sheetName val="КУ СРЕД 17"/>
      <sheetName val="КУ МАКС 17"/>
      <sheetName val="Комментарии 17"/>
      <sheetName val="КУ СРЕД 18"/>
      <sheetName val="КУ МАКС 18"/>
      <sheetName val="Комментарии 18"/>
      <sheetName val="КУ СРЕД 19"/>
      <sheetName val="КУ МАКС 19"/>
      <sheetName val="Комментарии 19"/>
      <sheetName val="КУ СРЕД 20"/>
      <sheetName val="КУ МАКС 20"/>
      <sheetName val="Комментарии 20"/>
      <sheetName val="КУ СРЕД 21"/>
      <sheetName val="КУ МАКС 21"/>
      <sheetName val="Комментарии 21"/>
      <sheetName val="КУ СРЕД 22"/>
      <sheetName val="КУ МАКС 22"/>
      <sheetName val="Комментарии 22"/>
      <sheetName val="КУ СРЕД 23"/>
      <sheetName val="КУ МАКС 23"/>
      <sheetName val="Комментарии 23"/>
      <sheetName val="КУ СРЕД 24"/>
      <sheetName val="КУ МАКС 24"/>
      <sheetName val="Комментарии 24"/>
      <sheetName val="КУ СРЕД 25"/>
      <sheetName val="КУ МАКС 25"/>
      <sheetName val="Комментарии 25"/>
      <sheetName val="Проверка"/>
      <sheetName val="КУ СРЕД PATTERN"/>
      <sheetName val="КУ МАКС PATTERN"/>
      <sheetName val="Комментарии PATTERN"/>
      <sheetName val="КУ СРЕД"/>
      <sheetName val="КУ МАКС"/>
      <sheetName val="Комментарии"/>
      <sheetName val="modProv"/>
      <sheetName val="modWorkSheetsVisibility"/>
      <sheetName val="REESTR_MO"/>
      <sheetName val="REESTR_ORG"/>
      <sheetName val="REESTR_ORG_VS"/>
      <sheetName val="REESTR_ORG_VO"/>
      <sheetName val="REESTR_ORG_WARM"/>
      <sheetName val="REESTR_ORG_WARM_VS"/>
      <sheetName val="REESTR_ORG_EE"/>
      <sheetName val="REESTR_ORG_GAS"/>
      <sheetName val="KU10_DATA_REGION"/>
      <sheetName val="TEHSHEET"/>
      <sheetName val="tech"/>
      <sheetName val="UT_IZM_MAX_EXCEED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ОперРасх"/>
      <sheetName val="Параметры "/>
      <sheetName val="Баланс ВС"/>
      <sheetName val="РеализХВС"/>
      <sheetName val="ОбъемХВСпоЧД "/>
      <sheetName val="СырьеМатерСвод"/>
      <sheetName val="СырьеМатерРасш"/>
      <sheetName val="Реагенты"/>
      <sheetName val="ШтатРасп2015"/>
      <sheetName val="ШтатРасп2016"/>
      <sheetName val="РаспредОбщАдм"/>
      <sheetName val="ОбщАдмРасх"/>
      <sheetName val="ФОТ АдмОбщ"/>
      <sheetName val="ФОТ ВС"/>
      <sheetName val="ФОТитог"/>
      <sheetName val="Ремонт"/>
      <sheetName val="МатерТекРем"/>
      <sheetName val="ЭЭсвод"/>
      <sheetName val=" ЭЭфакт"/>
      <sheetName val="ЭЭрасчет"/>
      <sheetName val="НеподконтРасх"/>
      <sheetName val="ВодНалог"/>
      <sheetName val="РезультатДеят"/>
      <sheetName val="ПоказатНадежнКач"/>
      <sheetName val="РасчетСтепИсп "/>
      <sheetName val="КратСвед"/>
      <sheetName val="Титульный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rds840507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="80" zoomScaleSheetLayoutView="8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.125" style="1" customWidth="1"/>
    <col min="2" max="2" width="41.875" style="1" customWidth="1"/>
    <col min="3" max="3" width="11.375" style="1" customWidth="1"/>
    <col min="4" max="9" width="0" style="1" hidden="1" customWidth="1"/>
    <col min="10" max="10" width="12.50390625" style="1" customWidth="1"/>
    <col min="11" max="11" width="13.125" style="1" customWidth="1"/>
    <col min="12" max="16384" width="9.125" style="1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11" ht="12.75" customHeight="1">
      <c r="A4" s="5" t="s">
        <v>2</v>
      </c>
      <c r="B4" s="6"/>
      <c r="C4" s="7" t="s">
        <v>3</v>
      </c>
      <c r="D4" s="5">
        <v>2015</v>
      </c>
      <c r="E4" s="5"/>
      <c r="F4" s="5">
        <v>2016</v>
      </c>
      <c r="G4" s="5"/>
      <c r="H4" s="5">
        <v>2017</v>
      </c>
      <c r="I4" s="5"/>
      <c r="J4" s="8">
        <v>2018</v>
      </c>
      <c r="K4" s="5" t="s">
        <v>4</v>
      </c>
    </row>
    <row r="5" spans="1:11" ht="52.5" customHeight="1">
      <c r="A5" s="5"/>
      <c r="B5" s="5"/>
      <c r="C5" s="7"/>
      <c r="D5" s="9" t="s">
        <v>5</v>
      </c>
      <c r="E5" s="9" t="s">
        <v>6</v>
      </c>
      <c r="F5" s="9" t="s">
        <v>5</v>
      </c>
      <c r="G5" s="9" t="s">
        <v>6</v>
      </c>
      <c r="H5" s="9" t="s">
        <v>5</v>
      </c>
      <c r="I5" s="9" t="s">
        <v>7</v>
      </c>
      <c r="J5" s="10" t="s">
        <v>8</v>
      </c>
      <c r="K5" s="5"/>
    </row>
    <row r="6" spans="1:11" ht="12.75">
      <c r="A6" s="6"/>
      <c r="B6" s="6"/>
      <c r="C6" s="11"/>
      <c r="D6" s="6" t="s">
        <v>9</v>
      </c>
      <c r="E6" s="6"/>
      <c r="F6" s="6"/>
      <c r="G6" s="6"/>
      <c r="H6" s="6"/>
      <c r="I6" s="6"/>
      <c r="J6" s="6"/>
      <c r="K6" s="12"/>
    </row>
    <row r="7" spans="1:11" ht="12.75">
      <c r="A7" s="13">
        <v>1</v>
      </c>
      <c r="B7" s="14" t="s">
        <v>10</v>
      </c>
      <c r="C7" s="6"/>
      <c r="D7" s="6"/>
      <c r="E7" s="6"/>
      <c r="F7" s="6"/>
      <c r="G7" s="6"/>
      <c r="H7" s="6"/>
      <c r="I7" s="6"/>
      <c r="J7" s="15"/>
      <c r="K7" s="16"/>
    </row>
    <row r="8" spans="1:13" ht="12.75">
      <c r="A8" s="6" t="s">
        <v>11</v>
      </c>
      <c r="B8" s="17" t="s">
        <v>12</v>
      </c>
      <c r="C8" s="6" t="s">
        <v>13</v>
      </c>
      <c r="D8" s="18">
        <f aca="true" t="shared" si="0" ref="D8:I8">D9+D10+D11</f>
        <v>26.86</v>
      </c>
      <c r="E8" s="18">
        <f t="shared" si="0"/>
        <v>74.577409301068</v>
      </c>
      <c r="F8" s="18">
        <f t="shared" si="0"/>
        <v>27.35</v>
      </c>
      <c r="G8" s="18">
        <f t="shared" si="0"/>
        <v>31.34</v>
      </c>
      <c r="H8" s="18">
        <f t="shared" si="0"/>
        <v>28.01</v>
      </c>
      <c r="I8" s="18">
        <f t="shared" si="0"/>
        <v>28.01</v>
      </c>
      <c r="J8" s="18">
        <f>J9+J10+J11</f>
        <v>40.64</v>
      </c>
      <c r="K8" s="18">
        <f>K9+K10+K11</f>
        <v>40.64</v>
      </c>
      <c r="M8" s="19"/>
    </row>
    <row r="9" spans="1:11" ht="12.75">
      <c r="A9" s="6" t="s">
        <v>14</v>
      </c>
      <c r="B9" s="20" t="s">
        <v>15</v>
      </c>
      <c r="C9" s="6" t="s">
        <v>13</v>
      </c>
      <c r="D9" s="18"/>
      <c r="E9" s="18"/>
      <c r="F9" s="18"/>
      <c r="G9" s="18"/>
      <c r="H9" s="18"/>
      <c r="I9" s="18"/>
      <c r="J9" s="18"/>
      <c r="K9" s="18"/>
    </row>
    <row r="10" spans="1:11" ht="12.75">
      <c r="A10" s="6" t="s">
        <v>16</v>
      </c>
      <c r="B10" s="20" t="s">
        <v>17</v>
      </c>
      <c r="C10" s="6" t="s">
        <v>13</v>
      </c>
      <c r="D10" s="18">
        <v>26.86</v>
      </c>
      <c r="E10" s="18">
        <v>74.577409301068</v>
      </c>
      <c r="F10" s="18">
        <v>27.35</v>
      </c>
      <c r="G10" s="18">
        <v>31.34</v>
      </c>
      <c r="H10" s="18">
        <v>28.01</v>
      </c>
      <c r="I10" s="18">
        <v>28.01</v>
      </c>
      <c r="J10" s="18">
        <v>40.64</v>
      </c>
      <c r="K10" s="18">
        <v>40.64</v>
      </c>
    </row>
    <row r="11" spans="1:11" ht="12.75" customHeight="1">
      <c r="A11" s="6" t="s">
        <v>18</v>
      </c>
      <c r="B11" s="21" t="s">
        <v>19</v>
      </c>
      <c r="C11" s="6" t="s">
        <v>13</v>
      </c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6" t="s">
        <v>20</v>
      </c>
      <c r="B12" s="17" t="s">
        <v>21</v>
      </c>
      <c r="C12" s="6" t="s">
        <v>13</v>
      </c>
      <c r="D12" s="18">
        <f aca="true" t="shared" si="1" ref="D12:I12">D8</f>
        <v>26.86</v>
      </c>
      <c r="E12" s="18">
        <v>74.58</v>
      </c>
      <c r="F12" s="18">
        <f t="shared" si="1"/>
        <v>27.35</v>
      </c>
      <c r="G12" s="18">
        <f t="shared" si="1"/>
        <v>31.34</v>
      </c>
      <c r="H12" s="18">
        <f t="shared" si="1"/>
        <v>28.01</v>
      </c>
      <c r="I12" s="18">
        <f t="shared" si="1"/>
        <v>28.01</v>
      </c>
      <c r="J12" s="18">
        <f>J8</f>
        <v>40.64</v>
      </c>
      <c r="K12" s="18">
        <f>K8</f>
        <v>40.64</v>
      </c>
    </row>
    <row r="13" spans="1:11" ht="12.75">
      <c r="A13" s="6" t="s">
        <v>22</v>
      </c>
      <c r="B13" s="17" t="s">
        <v>23</v>
      </c>
      <c r="C13" s="6" t="s">
        <v>13</v>
      </c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6" t="s">
        <v>24</v>
      </c>
      <c r="B14" s="17" t="s">
        <v>25</v>
      </c>
      <c r="C14" s="6" t="s">
        <v>13</v>
      </c>
      <c r="D14" s="18">
        <f aca="true" t="shared" si="2" ref="D14:I14">D8-D13</f>
        <v>26.86</v>
      </c>
      <c r="E14" s="18">
        <f t="shared" si="2"/>
        <v>74.577409301068</v>
      </c>
      <c r="F14" s="18">
        <f t="shared" si="2"/>
        <v>27.35</v>
      </c>
      <c r="G14" s="18">
        <f t="shared" si="2"/>
        <v>31.34</v>
      </c>
      <c r="H14" s="18">
        <f t="shared" si="2"/>
        <v>28.01</v>
      </c>
      <c r="I14" s="18">
        <f t="shared" si="2"/>
        <v>28.01</v>
      </c>
      <c r="J14" s="18">
        <f>J8-J13</f>
        <v>40.64</v>
      </c>
      <c r="K14" s="18">
        <f>K8-K13</f>
        <v>40.64</v>
      </c>
    </row>
    <row r="15" spans="1:11" ht="12.75">
      <c r="A15" s="13">
        <v>2</v>
      </c>
      <c r="B15" s="14" t="s">
        <v>26</v>
      </c>
      <c r="C15" s="6"/>
      <c r="D15" s="18"/>
      <c r="E15" s="18"/>
      <c r="F15" s="18"/>
      <c r="G15" s="18"/>
      <c r="H15" s="18"/>
      <c r="I15" s="18"/>
      <c r="J15" s="18"/>
      <c r="K15" s="18"/>
    </row>
    <row r="16" spans="1:11" ht="12.75">
      <c r="A16" s="22" t="s">
        <v>27</v>
      </c>
      <c r="B16" s="17" t="s">
        <v>28</v>
      </c>
      <c r="C16" s="6" t="s">
        <v>13</v>
      </c>
      <c r="D16" s="18">
        <f aca="true" t="shared" si="3" ref="D16:I16">D14</f>
        <v>26.86</v>
      </c>
      <c r="E16" s="18">
        <f t="shared" si="3"/>
        <v>74.577409301068</v>
      </c>
      <c r="F16" s="18">
        <f t="shared" si="3"/>
        <v>27.35</v>
      </c>
      <c r="G16" s="18">
        <f t="shared" si="3"/>
        <v>31.34</v>
      </c>
      <c r="H16" s="18">
        <f t="shared" si="3"/>
        <v>28.01</v>
      </c>
      <c r="I16" s="18">
        <f t="shared" si="3"/>
        <v>28.01</v>
      </c>
      <c r="J16" s="18">
        <f>J14</f>
        <v>40.64</v>
      </c>
      <c r="K16" s="18">
        <f>K14</f>
        <v>40.64</v>
      </c>
    </row>
    <row r="17" spans="1:11" ht="12.75">
      <c r="A17" s="22" t="s">
        <v>29</v>
      </c>
      <c r="B17" s="20" t="s">
        <v>30</v>
      </c>
      <c r="C17" s="6" t="s">
        <v>13</v>
      </c>
      <c r="D17" s="18">
        <f aca="true" t="shared" si="4" ref="D17:I17">D16</f>
        <v>26.86</v>
      </c>
      <c r="E17" s="18">
        <f t="shared" si="4"/>
        <v>74.577409301068</v>
      </c>
      <c r="F17" s="18">
        <f t="shared" si="4"/>
        <v>27.35</v>
      </c>
      <c r="G17" s="18">
        <f t="shared" si="4"/>
        <v>31.34</v>
      </c>
      <c r="H17" s="18">
        <f t="shared" si="4"/>
        <v>28.01</v>
      </c>
      <c r="I17" s="18">
        <f t="shared" si="4"/>
        <v>28.01</v>
      </c>
      <c r="J17" s="18">
        <f>J16</f>
        <v>40.64</v>
      </c>
      <c r="K17" s="18">
        <f>K16</f>
        <v>40.64</v>
      </c>
    </row>
    <row r="18" spans="1:11" ht="12.75">
      <c r="A18" s="22" t="s">
        <v>31</v>
      </c>
      <c r="B18" s="20" t="s">
        <v>32</v>
      </c>
      <c r="C18" s="6" t="s">
        <v>13</v>
      </c>
      <c r="D18" s="18"/>
      <c r="E18" s="18"/>
      <c r="F18" s="18"/>
      <c r="G18" s="18"/>
      <c r="H18" s="18"/>
      <c r="I18" s="18"/>
      <c r="J18" s="18"/>
      <c r="K18" s="23"/>
    </row>
    <row r="19" spans="1:11" ht="12.75">
      <c r="A19" s="22" t="s">
        <v>33</v>
      </c>
      <c r="B19" s="21" t="s">
        <v>34</v>
      </c>
      <c r="C19" s="6" t="s">
        <v>13</v>
      </c>
      <c r="D19" s="18"/>
      <c r="E19" s="18"/>
      <c r="F19" s="18"/>
      <c r="G19" s="18"/>
      <c r="H19" s="18"/>
      <c r="I19" s="18"/>
      <c r="J19" s="18"/>
      <c r="K19" s="23"/>
    </row>
    <row r="20" spans="1:11" ht="12.75">
      <c r="A20" s="22" t="s">
        <v>35</v>
      </c>
      <c r="B20" s="17" t="s">
        <v>36</v>
      </c>
      <c r="C20" s="6" t="s">
        <v>13</v>
      </c>
      <c r="D20" s="18">
        <f aca="true" t="shared" si="5" ref="D20:I20">D16-D23-D22</f>
        <v>5.9999999999999964</v>
      </c>
      <c r="E20" s="18">
        <f t="shared" si="5"/>
        <v>52.362409301068</v>
      </c>
      <c r="F20" s="18">
        <f t="shared" si="5"/>
        <v>5.466999999999999</v>
      </c>
      <c r="G20" s="18">
        <f t="shared" si="5"/>
        <v>20.25</v>
      </c>
      <c r="H20" s="18">
        <f t="shared" si="5"/>
        <v>5.57</v>
      </c>
      <c r="I20" s="18">
        <f t="shared" si="5"/>
        <v>5.57</v>
      </c>
      <c r="J20" s="18">
        <f>J16-J23-J22</f>
        <v>8.123640000000002</v>
      </c>
      <c r="K20" s="18">
        <f>K16-K23-K22</f>
        <v>8.124000000000002</v>
      </c>
    </row>
    <row r="21" spans="1:11" ht="12.75">
      <c r="A21" s="22"/>
      <c r="B21" s="17"/>
      <c r="C21" s="6"/>
      <c r="D21" s="24">
        <f aca="true" t="shared" si="6" ref="D21:I21">D20/D16</f>
        <v>0.22338049143708102</v>
      </c>
      <c r="E21" s="24">
        <f t="shared" si="6"/>
        <v>0.7021215914015149</v>
      </c>
      <c r="F21" s="24">
        <f t="shared" si="6"/>
        <v>0.19989031078610597</v>
      </c>
      <c r="G21" s="24">
        <f t="shared" si="6"/>
        <v>0.6461391193363114</v>
      </c>
      <c r="H21" s="24">
        <f t="shared" si="6"/>
        <v>0.19885755087468762</v>
      </c>
      <c r="I21" s="24">
        <f t="shared" si="6"/>
        <v>0.19885755087468762</v>
      </c>
      <c r="J21" s="25">
        <f>J20/J16</f>
        <v>0.1998927165354331</v>
      </c>
      <c r="K21" s="24">
        <f>K20/K16</f>
        <v>0.19990157480314966</v>
      </c>
    </row>
    <row r="22" spans="1:11" ht="12.75">
      <c r="A22" s="22" t="s">
        <v>37</v>
      </c>
      <c r="B22" s="17" t="s">
        <v>23</v>
      </c>
      <c r="C22" s="6" t="s">
        <v>13</v>
      </c>
      <c r="D22" s="18"/>
      <c r="E22" s="18"/>
      <c r="F22" s="18"/>
      <c r="G22" s="18"/>
      <c r="H22" s="18"/>
      <c r="I22" s="18"/>
      <c r="J22" s="18"/>
      <c r="K22" s="23"/>
    </row>
    <row r="23" spans="1:11" ht="12.75">
      <c r="A23" s="22" t="s">
        <v>38</v>
      </c>
      <c r="B23" s="17" t="s">
        <v>39</v>
      </c>
      <c r="C23" s="6" t="s">
        <v>13</v>
      </c>
      <c r="D23" s="18">
        <f aca="true" t="shared" si="7" ref="D23:I23">D26</f>
        <v>20.860000000000003</v>
      </c>
      <c r="E23" s="18">
        <f t="shared" si="7"/>
        <v>22.215</v>
      </c>
      <c r="F23" s="18">
        <f t="shared" si="7"/>
        <v>21.883000000000003</v>
      </c>
      <c r="G23" s="18">
        <f t="shared" si="7"/>
        <v>11.090000000000002</v>
      </c>
      <c r="H23" s="18">
        <f t="shared" si="7"/>
        <v>22.44</v>
      </c>
      <c r="I23" s="18">
        <f t="shared" si="7"/>
        <v>22.44</v>
      </c>
      <c r="J23" s="18">
        <f>J26</f>
        <v>32.51636</v>
      </c>
      <c r="K23" s="18">
        <f>K26</f>
        <v>32.516</v>
      </c>
    </row>
    <row r="24" spans="1:11" ht="12.75" customHeight="1">
      <c r="A24" s="22" t="s">
        <v>40</v>
      </c>
      <c r="B24" s="26"/>
      <c r="C24" s="6" t="s">
        <v>13</v>
      </c>
      <c r="D24" s="18"/>
      <c r="E24" s="18"/>
      <c r="F24" s="18"/>
      <c r="G24" s="18"/>
      <c r="H24" s="18"/>
      <c r="I24" s="18"/>
      <c r="J24" s="18"/>
      <c r="K24" s="23"/>
    </row>
    <row r="25" spans="1:11" ht="12.75">
      <c r="A25" s="27" t="s">
        <v>41</v>
      </c>
      <c r="B25" s="14" t="s">
        <v>42</v>
      </c>
      <c r="C25" s="6"/>
      <c r="D25" s="18"/>
      <c r="E25" s="18"/>
      <c r="F25" s="18"/>
      <c r="G25" s="18"/>
      <c r="H25" s="18"/>
      <c r="I25" s="18"/>
      <c r="J25" s="18"/>
      <c r="K25" s="23"/>
    </row>
    <row r="26" spans="1:11" ht="12.75">
      <c r="A26" s="22" t="s">
        <v>43</v>
      </c>
      <c r="B26" s="17" t="s">
        <v>44</v>
      </c>
      <c r="C26" s="6" t="s">
        <v>13</v>
      </c>
      <c r="D26" s="18">
        <f aca="true" t="shared" si="8" ref="D26:I26">D29</f>
        <v>20.860000000000003</v>
      </c>
      <c r="E26" s="18">
        <f t="shared" si="8"/>
        <v>22.215</v>
      </c>
      <c r="F26" s="18">
        <f t="shared" si="8"/>
        <v>21.883000000000003</v>
      </c>
      <c r="G26" s="18">
        <f t="shared" si="8"/>
        <v>11.090000000000002</v>
      </c>
      <c r="H26" s="18">
        <f t="shared" si="8"/>
        <v>22.44</v>
      </c>
      <c r="I26" s="18">
        <f t="shared" si="8"/>
        <v>22.44</v>
      </c>
      <c r="J26" s="18">
        <f>J29</f>
        <v>32.51636</v>
      </c>
      <c r="K26" s="18">
        <f>K29</f>
        <v>32.516</v>
      </c>
    </row>
    <row r="27" spans="1:11" ht="12.75">
      <c r="A27" s="22" t="s">
        <v>45</v>
      </c>
      <c r="B27" s="20" t="s">
        <v>46</v>
      </c>
      <c r="C27" s="6" t="s">
        <v>13</v>
      </c>
      <c r="D27" s="18"/>
      <c r="E27" s="18">
        <f>РеализХВС!D14+'ОбъемХВСпоЧД '!H26/1000</f>
        <v>7.449851</v>
      </c>
      <c r="F27" s="18">
        <f>'ОбъемХВСпоЧД '!K26/1000+РеализХВС!E14</f>
        <v>7.118</v>
      </c>
      <c r="G27" s="18">
        <v>2.9</v>
      </c>
      <c r="H27" s="18">
        <f>'ОбъемХВСпоЧД '!N26/1000+РеализХВС!G14</f>
        <v>7.446850999999999</v>
      </c>
      <c r="I27" s="18">
        <v>7.45</v>
      </c>
      <c r="J27" s="18">
        <f>РеализХВС!I14+'ОбъемХВСпоЧД '!Q26/1000</f>
        <v>16.80572</v>
      </c>
      <c r="K27" s="23"/>
    </row>
    <row r="28" spans="1:11" ht="12.75" customHeight="1">
      <c r="A28" s="22" t="s">
        <v>47</v>
      </c>
      <c r="B28" s="20" t="s">
        <v>48</v>
      </c>
      <c r="C28" s="6" t="s">
        <v>13</v>
      </c>
      <c r="D28" s="18">
        <f>D26-D27</f>
        <v>20.860000000000003</v>
      </c>
      <c r="E28" s="18">
        <f aca="true" t="shared" si="9" ref="E28:K28">E26-E27</f>
        <v>14.765149000000001</v>
      </c>
      <c r="F28" s="18">
        <f t="shared" si="9"/>
        <v>14.765000000000002</v>
      </c>
      <c r="G28" s="18">
        <f t="shared" si="9"/>
        <v>8.190000000000001</v>
      </c>
      <c r="H28" s="18">
        <f t="shared" si="9"/>
        <v>14.993149000000003</v>
      </c>
      <c r="I28" s="18">
        <f t="shared" si="9"/>
        <v>14.990000000000002</v>
      </c>
      <c r="J28" s="18">
        <f t="shared" si="9"/>
        <v>15.710639999999998</v>
      </c>
      <c r="K28" s="18">
        <f t="shared" si="9"/>
        <v>32.516</v>
      </c>
    </row>
    <row r="29" spans="1:11" ht="12.75">
      <c r="A29" s="22" t="s">
        <v>49</v>
      </c>
      <c r="B29" s="17" t="s">
        <v>50</v>
      </c>
      <c r="C29" s="6" t="s">
        <v>13</v>
      </c>
      <c r="D29" s="18">
        <f aca="true" t="shared" si="10" ref="D29:I29">D31</f>
        <v>20.860000000000003</v>
      </c>
      <c r="E29" s="18">
        <f t="shared" si="10"/>
        <v>22.215</v>
      </c>
      <c r="F29" s="18">
        <f t="shared" si="10"/>
        <v>21.883000000000003</v>
      </c>
      <c r="G29" s="18">
        <f t="shared" si="10"/>
        <v>11.090000000000002</v>
      </c>
      <c r="H29" s="18">
        <f t="shared" si="10"/>
        <v>22.44</v>
      </c>
      <c r="I29" s="18">
        <f t="shared" si="10"/>
        <v>22.44</v>
      </c>
      <c r="J29" s="18">
        <f>J31</f>
        <v>32.51636</v>
      </c>
      <c r="K29" s="18">
        <f>K31</f>
        <v>32.516</v>
      </c>
    </row>
    <row r="30" spans="1:11" ht="12.75">
      <c r="A30" s="22" t="s">
        <v>51</v>
      </c>
      <c r="B30" s="21" t="s">
        <v>52</v>
      </c>
      <c r="C30" s="6" t="s">
        <v>13</v>
      </c>
      <c r="D30" s="18"/>
      <c r="E30" s="18"/>
      <c r="F30" s="18"/>
      <c r="G30" s="18"/>
      <c r="H30" s="18"/>
      <c r="I30" s="18"/>
      <c r="J30" s="18"/>
      <c r="K30" s="23"/>
    </row>
    <row r="31" spans="1:11" ht="12.75">
      <c r="A31" s="22" t="s">
        <v>53</v>
      </c>
      <c r="B31" s="28" t="s">
        <v>54</v>
      </c>
      <c r="C31" s="6" t="s">
        <v>13</v>
      </c>
      <c r="D31" s="18">
        <f>D32+D33+D34+D35</f>
        <v>20.860000000000003</v>
      </c>
      <c r="E31" s="18">
        <f aca="true" t="shared" si="11" ref="E31:K31">E32+E33+E34+E35</f>
        <v>22.215</v>
      </c>
      <c r="F31" s="18">
        <f t="shared" si="11"/>
        <v>21.883000000000003</v>
      </c>
      <c r="G31" s="18">
        <f t="shared" si="11"/>
        <v>11.090000000000002</v>
      </c>
      <c r="H31" s="18">
        <f t="shared" si="11"/>
        <v>22.44</v>
      </c>
      <c r="I31" s="18">
        <f t="shared" si="11"/>
        <v>22.44</v>
      </c>
      <c r="J31" s="18">
        <f t="shared" si="11"/>
        <v>32.51636</v>
      </c>
      <c r="K31" s="18">
        <f t="shared" si="11"/>
        <v>32.516</v>
      </c>
    </row>
    <row r="32" spans="1:11" ht="12.75">
      <c r="A32" s="22" t="s">
        <v>55</v>
      </c>
      <c r="B32" s="28" t="s">
        <v>56</v>
      </c>
      <c r="C32" s="6" t="s">
        <v>13</v>
      </c>
      <c r="D32" s="18">
        <f>РеализХВС!C28</f>
        <v>19.76</v>
      </c>
      <c r="E32" s="18">
        <f>РеализХВС!D28</f>
        <v>20.092</v>
      </c>
      <c r="F32" s="18">
        <f>РеализХВС!E28</f>
        <v>19.76</v>
      </c>
      <c r="G32" s="18">
        <f>РеализХВС!F28</f>
        <v>9.88</v>
      </c>
      <c r="H32" s="18">
        <f>РеализХВС!G28</f>
        <v>20.32</v>
      </c>
      <c r="I32" s="18">
        <f>РеализХВС!H28</f>
        <v>20.32</v>
      </c>
      <c r="J32" s="18">
        <f>РеализХВС!I28</f>
        <v>30.39636</v>
      </c>
      <c r="K32" s="18">
        <f>РеализХВС!J28</f>
        <v>30.396</v>
      </c>
    </row>
    <row r="33" spans="1:11" ht="24.75" customHeight="1">
      <c r="A33" s="22" t="s">
        <v>57</v>
      </c>
      <c r="B33" s="29" t="s">
        <v>58</v>
      </c>
      <c r="C33" s="6" t="s">
        <v>13</v>
      </c>
      <c r="D33" s="18">
        <f>РеализХВС!C14</f>
        <v>0.8</v>
      </c>
      <c r="E33" s="18">
        <f>РеализХВС!D14</f>
        <v>1.8230000000000002</v>
      </c>
      <c r="F33" s="18">
        <f>РеализХВС!E14</f>
        <v>1.8230000000000002</v>
      </c>
      <c r="G33" s="18">
        <f>РеализХВС!F14</f>
        <v>0.91</v>
      </c>
      <c r="H33" s="18">
        <f>РеализХВС!G14</f>
        <v>1.8199999999999998</v>
      </c>
      <c r="I33" s="18">
        <f>РеализХВС!H14</f>
        <v>1.8199999999999998</v>
      </c>
      <c r="J33" s="18">
        <f>РеализХВС!I14</f>
        <v>1.8199999999999998</v>
      </c>
      <c r="K33" s="18">
        <f>РеализХВС!J14</f>
        <v>1.8199999999999998</v>
      </c>
    </row>
    <row r="34" spans="1:11" ht="12.75">
      <c r="A34" s="22" t="s">
        <v>59</v>
      </c>
      <c r="B34" s="28" t="s">
        <v>60</v>
      </c>
      <c r="C34" s="6" t="s">
        <v>13</v>
      </c>
      <c r="D34" s="18">
        <f>РеализХВС!C24</f>
        <v>0.3</v>
      </c>
      <c r="E34" s="18">
        <f>РеализХВС!D24</f>
        <v>0</v>
      </c>
      <c r="F34" s="18">
        <f>РеализХВС!E24</f>
        <v>0</v>
      </c>
      <c r="G34" s="18">
        <f>РеализХВС!F24</f>
        <v>0</v>
      </c>
      <c r="H34" s="18">
        <f>РеализХВС!G24</f>
        <v>0</v>
      </c>
      <c r="I34" s="18">
        <f>РеализХВС!H24</f>
        <v>0</v>
      </c>
      <c r="J34" s="18">
        <f>РеализХВС!I24</f>
        <v>0.3</v>
      </c>
      <c r="K34" s="18">
        <f>РеализХВС!J24</f>
        <v>0.3</v>
      </c>
    </row>
    <row r="35" spans="1:11" ht="12.75">
      <c r="A35" s="22"/>
      <c r="B35" s="26" t="s">
        <v>61</v>
      </c>
      <c r="C35" s="6"/>
      <c r="D35" s="18"/>
      <c r="E35" s="18">
        <v>0.3</v>
      </c>
      <c r="F35" s="18">
        <v>0.3</v>
      </c>
      <c r="G35" s="18">
        <v>0.3</v>
      </c>
      <c r="H35" s="18">
        <v>0.3</v>
      </c>
      <c r="I35" s="18">
        <v>0.3</v>
      </c>
      <c r="J35" s="18"/>
      <c r="K35" s="23"/>
    </row>
    <row r="36" spans="1:11" ht="12.75">
      <c r="A36" s="27" t="s">
        <v>62</v>
      </c>
      <c r="B36" s="14" t="s">
        <v>63</v>
      </c>
      <c r="C36" s="6" t="s">
        <v>13</v>
      </c>
      <c r="D36" s="18"/>
      <c r="E36" s="18"/>
      <c r="F36" s="18"/>
      <c r="G36" s="18"/>
      <c r="H36" s="18"/>
      <c r="I36" s="18"/>
      <c r="J36" s="18"/>
      <c r="K36" s="16"/>
    </row>
    <row r="37" spans="1:11" ht="12.75">
      <c r="A37" s="27" t="s">
        <v>64</v>
      </c>
      <c r="B37" s="14" t="s">
        <v>65</v>
      </c>
      <c r="C37" s="6" t="s">
        <v>13</v>
      </c>
      <c r="D37" s="6"/>
      <c r="E37" s="6"/>
      <c r="F37" s="6"/>
      <c r="G37" s="6"/>
      <c r="H37" s="6"/>
      <c r="I37" s="6"/>
      <c r="J37" s="15"/>
      <c r="K37" s="16"/>
    </row>
    <row r="38" spans="1:11" ht="12.75">
      <c r="A38" s="27" t="s">
        <v>66</v>
      </c>
      <c r="B38" s="30" t="s">
        <v>67</v>
      </c>
      <c r="C38" s="6" t="s">
        <v>13</v>
      </c>
      <c r="D38" s="6"/>
      <c r="E38" s="6"/>
      <c r="F38" s="6"/>
      <c r="G38" s="6"/>
      <c r="H38" s="6"/>
      <c r="I38" s="6"/>
      <c r="J38" s="15"/>
      <c r="K38" s="16"/>
    </row>
    <row r="39" spans="1:11" ht="12.75">
      <c r="A39" s="22" t="s">
        <v>68</v>
      </c>
      <c r="B39" s="31" t="s">
        <v>69</v>
      </c>
      <c r="C39" s="6" t="s">
        <v>13</v>
      </c>
      <c r="D39" s="6"/>
      <c r="E39" s="6"/>
      <c r="F39" s="6"/>
      <c r="G39" s="6"/>
      <c r="H39" s="6"/>
      <c r="I39" s="6"/>
      <c r="J39" s="15"/>
      <c r="K39" s="16"/>
    </row>
    <row r="40" spans="1:11" ht="12.75">
      <c r="A40" s="22" t="s">
        <v>70</v>
      </c>
      <c r="B40" s="31" t="s">
        <v>71</v>
      </c>
      <c r="C40" s="6" t="s">
        <v>13</v>
      </c>
      <c r="D40" s="6"/>
      <c r="E40" s="6"/>
      <c r="F40" s="6"/>
      <c r="G40" s="6"/>
      <c r="H40" s="6"/>
      <c r="I40" s="6"/>
      <c r="J40" s="15"/>
      <c r="K40" s="16"/>
    </row>
    <row r="41" spans="1:11" ht="44.25" customHeight="1">
      <c r="A41" s="27" t="s">
        <v>72</v>
      </c>
      <c r="B41" s="30" t="s">
        <v>73</v>
      </c>
      <c r="C41" s="6" t="s">
        <v>13</v>
      </c>
      <c r="D41" s="6"/>
      <c r="E41" s="6"/>
      <c r="F41" s="6"/>
      <c r="G41" s="6"/>
      <c r="H41" s="6"/>
      <c r="I41" s="6"/>
      <c r="J41" s="16"/>
      <c r="K41" s="16"/>
    </row>
    <row r="42" spans="1:11" ht="12.75">
      <c r="A42" s="27" t="s">
        <v>74</v>
      </c>
      <c r="B42" s="14" t="s">
        <v>75</v>
      </c>
      <c r="C42" s="6" t="s">
        <v>76</v>
      </c>
      <c r="D42" s="6"/>
      <c r="E42" s="6"/>
      <c r="F42" s="6"/>
      <c r="G42" s="6"/>
      <c r="H42" s="6"/>
      <c r="I42" s="6"/>
      <c r="J42" s="32"/>
      <c r="K42" s="16"/>
    </row>
    <row r="44" ht="39.75" customHeight="1"/>
    <row r="45" spans="1:9" s="34" customFormat="1" ht="12.75">
      <c r="A45" s="33"/>
      <c r="B45" s="33" t="str">
        <f>КратСвед!A32</f>
        <v>ИП </v>
      </c>
      <c r="D45" s="33" t="str">
        <f>КратСвед!B32</f>
        <v>Рябичко Д.С.</v>
      </c>
      <c r="F45" s="35"/>
      <c r="G45" s="36"/>
      <c r="I45" s="35"/>
    </row>
    <row r="46" spans="1:8" ht="12.75">
      <c r="A46" s="37"/>
      <c r="B46" s="37"/>
      <c r="D46" s="38"/>
      <c r="E46" s="39"/>
      <c r="H46" s="38"/>
    </row>
  </sheetData>
  <sheetProtection selectLockedCells="1" selectUnlockedCells="1"/>
  <mergeCells count="11">
    <mergeCell ref="A1:K1"/>
    <mergeCell ref="A2:K2"/>
    <mergeCell ref="A4:A5"/>
    <mergeCell ref="B4:B5"/>
    <mergeCell ref="C4:C5"/>
    <mergeCell ref="D4:E4"/>
    <mergeCell ref="F4:G4"/>
    <mergeCell ref="H4:I4"/>
    <mergeCell ref="K4:K5"/>
    <mergeCell ref="D6:I6"/>
    <mergeCell ref="A46:B4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90" zoomScaleSheetLayoutView="90" workbookViewId="0" topLeftCell="A5">
      <selection activeCell="D6" sqref="D6"/>
    </sheetView>
  </sheetViews>
  <sheetFormatPr defaultColWidth="9.00390625" defaultRowHeight="12.75"/>
  <cols>
    <col min="1" max="1" width="7.00390625" style="0" customWidth="1"/>
    <col min="2" max="2" width="31.375" style="0" customWidth="1"/>
    <col min="3" max="3" width="12.50390625" style="0" customWidth="1"/>
    <col min="4" max="4" width="25.875" style="0" customWidth="1"/>
    <col min="5" max="5" width="12.50390625" style="0" customWidth="1"/>
    <col min="8" max="8" width="9.625" style="0" customWidth="1"/>
  </cols>
  <sheetData>
    <row r="1" spans="1:8" ht="36.75" customHeight="1">
      <c r="A1" s="149" t="s">
        <v>343</v>
      </c>
      <c r="B1" s="149"/>
      <c r="C1" s="149"/>
      <c r="D1" s="149"/>
      <c r="E1" s="171"/>
      <c r="F1" s="171"/>
      <c r="G1" s="171"/>
      <c r="H1" s="171"/>
    </row>
    <row r="2" spans="1:8" ht="18.75" customHeight="1">
      <c r="A2" s="43" t="s">
        <v>78</v>
      </c>
      <c r="B2" s="43"/>
      <c r="C2" s="43"/>
      <c r="D2" s="173">
        <f>Ремонт!D2</f>
        <v>0</v>
      </c>
      <c r="E2" s="223"/>
      <c r="F2" s="223"/>
      <c r="G2" s="223"/>
      <c r="H2" s="223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5" ht="30" customHeight="1">
      <c r="A4" s="128" t="s">
        <v>288</v>
      </c>
      <c r="B4" s="224" t="s">
        <v>140</v>
      </c>
      <c r="C4" s="187" t="s">
        <v>344</v>
      </c>
      <c r="D4" s="128" t="s">
        <v>311</v>
      </c>
      <c r="E4" s="5" t="s">
        <v>4</v>
      </c>
    </row>
    <row r="5" spans="1:5" ht="12.75">
      <c r="A5" s="128"/>
      <c r="B5" s="224"/>
      <c r="C5" s="187"/>
      <c r="D5" s="128"/>
      <c r="E5" s="5"/>
    </row>
    <row r="6" spans="1:5" ht="12.75">
      <c r="A6" s="175">
        <v>1</v>
      </c>
      <c r="B6" s="224">
        <v>2</v>
      </c>
      <c r="C6" s="188">
        <v>3</v>
      </c>
      <c r="D6" s="175">
        <v>4</v>
      </c>
      <c r="E6" s="175">
        <v>5</v>
      </c>
    </row>
    <row r="7" spans="1:5" ht="12.75">
      <c r="A7" s="225">
        <v>1</v>
      </c>
      <c r="B7" s="226" t="s">
        <v>345</v>
      </c>
      <c r="C7" s="188"/>
      <c r="D7" s="178"/>
      <c r="E7" s="204"/>
    </row>
    <row r="8" spans="1:5" ht="12.75">
      <c r="A8" s="227" t="s">
        <v>11</v>
      </c>
      <c r="B8" s="228" t="s">
        <v>346</v>
      </c>
      <c r="C8" s="188" t="s">
        <v>148</v>
      </c>
      <c r="D8" s="156">
        <f>'ФОТ ВС'!D33</f>
        <v>0</v>
      </c>
      <c r="E8" s="156">
        <f>'ФОТ ВС'!E33</f>
        <v>0</v>
      </c>
    </row>
    <row r="9" spans="1:5" ht="12.75">
      <c r="A9" s="227" t="s">
        <v>20</v>
      </c>
      <c r="B9" s="228" t="s">
        <v>347</v>
      </c>
      <c r="C9" s="188" t="s">
        <v>148</v>
      </c>
      <c r="D9" s="156">
        <f>'ФОТ ВС'!D34</f>
        <v>0</v>
      </c>
      <c r="E9" s="156">
        <f>'ФОТ ВС'!E34</f>
        <v>0</v>
      </c>
    </row>
    <row r="10" spans="1:5" ht="27.75" customHeight="1">
      <c r="A10" s="225">
        <v>2</v>
      </c>
      <c r="B10" s="229" t="s">
        <v>348</v>
      </c>
      <c r="C10" s="188"/>
      <c r="D10" s="156"/>
      <c r="E10" s="156"/>
    </row>
    <row r="11" spans="1:5" ht="12.75">
      <c r="A11" s="227" t="s">
        <v>27</v>
      </c>
      <c r="B11" s="228" t="s">
        <v>346</v>
      </c>
      <c r="C11" s="188" t="s">
        <v>148</v>
      </c>
      <c r="D11" s="156">
        <f>'ФОТ ВС'!D61</f>
        <v>90</v>
      </c>
      <c r="E11" s="156">
        <f>'ФОТ ВС'!E61</f>
        <v>90</v>
      </c>
    </row>
    <row r="12" spans="1:5" ht="12.75">
      <c r="A12" s="227" t="s">
        <v>35</v>
      </c>
      <c r="B12" s="228" t="s">
        <v>347</v>
      </c>
      <c r="C12" s="188" t="s">
        <v>148</v>
      </c>
      <c r="D12" s="156">
        <f>'ФОТ ВС'!D62</f>
        <v>27.18</v>
      </c>
      <c r="E12" s="156">
        <f>'ФОТ ВС'!E62</f>
        <v>27.18</v>
      </c>
    </row>
    <row r="13" spans="1:5" ht="12.75">
      <c r="A13" s="225">
        <v>3</v>
      </c>
      <c r="B13" s="226" t="s">
        <v>349</v>
      </c>
      <c r="C13" s="188"/>
      <c r="D13" s="178"/>
      <c r="E13" s="178"/>
    </row>
    <row r="14" spans="1:5" ht="12.75">
      <c r="A14" s="227" t="s">
        <v>43</v>
      </c>
      <c r="B14" s="228" t="s">
        <v>346</v>
      </c>
      <c r="C14" s="188" t="s">
        <v>148</v>
      </c>
      <c r="D14" s="230">
        <f>'ФОТ ВС'!D89</f>
        <v>192</v>
      </c>
      <c r="E14" s="230">
        <f>'ФОТ ВС'!E89</f>
        <v>192</v>
      </c>
    </row>
    <row r="15" spans="1:5" ht="12.75">
      <c r="A15" s="227" t="s">
        <v>49</v>
      </c>
      <c r="B15" s="228" t="s">
        <v>347</v>
      </c>
      <c r="C15" s="188" t="s">
        <v>148</v>
      </c>
      <c r="D15" s="230">
        <f>'ФОТ ВС'!D90</f>
        <v>57.983999999999995</v>
      </c>
      <c r="E15" s="230">
        <f>'ФОТ ВС'!E90</f>
        <v>57.983999999999995</v>
      </c>
    </row>
    <row r="16" spans="1:5" ht="12.75">
      <c r="A16" s="225">
        <v>4</v>
      </c>
      <c r="B16" s="226" t="s">
        <v>350</v>
      </c>
      <c r="C16" s="188"/>
      <c r="D16" s="178"/>
      <c r="E16" s="178"/>
    </row>
    <row r="17" spans="1:5" ht="12.75">
      <c r="A17" s="227" t="s">
        <v>250</v>
      </c>
      <c r="B17" s="228" t="s">
        <v>346</v>
      </c>
      <c r="C17" s="188" t="s">
        <v>148</v>
      </c>
      <c r="D17" s="230">
        <f>'ФОТ ВС'!D117</f>
        <v>0</v>
      </c>
      <c r="E17" s="230">
        <f>'ФОТ ВС'!E117</f>
        <v>0</v>
      </c>
    </row>
    <row r="18" spans="1:5" ht="12.75">
      <c r="A18" s="227" t="s">
        <v>351</v>
      </c>
      <c r="B18" s="228" t="s">
        <v>347</v>
      </c>
      <c r="C18" s="188" t="s">
        <v>148</v>
      </c>
      <c r="D18" s="230">
        <f>'ФОТ ВС'!D118</f>
        <v>0</v>
      </c>
      <c r="E18" s="230">
        <f>'ФОТ ВС'!E118</f>
        <v>0</v>
      </c>
    </row>
    <row r="19" spans="1:5" ht="27" customHeight="1">
      <c r="A19" s="175"/>
      <c r="B19" s="231" t="s">
        <v>313</v>
      </c>
      <c r="C19" s="175"/>
      <c r="D19" s="178"/>
      <c r="E19" s="204"/>
    </row>
    <row r="20" spans="1:5" ht="12.75">
      <c r="A20" s="175"/>
      <c r="B20" s="232" t="s">
        <v>346</v>
      </c>
      <c r="C20" s="188" t="s">
        <v>148</v>
      </c>
      <c r="D20" s="156">
        <f>D8+D11+D14+D17</f>
        <v>282</v>
      </c>
      <c r="E20" s="156">
        <f>E8+E11+E14+E17</f>
        <v>282</v>
      </c>
    </row>
    <row r="21" spans="1:5" ht="12.75">
      <c r="A21" s="175"/>
      <c r="B21" s="232" t="s">
        <v>347</v>
      </c>
      <c r="C21" s="188" t="s">
        <v>148</v>
      </c>
      <c r="D21" s="156">
        <f>D9+D12+D15+D18</f>
        <v>85.16399999999999</v>
      </c>
      <c r="E21" s="156">
        <f>E9+E12+E15+E18</f>
        <v>85.16399999999999</v>
      </c>
    </row>
    <row r="22" ht="58.5" customHeight="1"/>
    <row r="23" spans="1:7" s="34" customFormat="1" ht="12.75">
      <c r="A23" s="33"/>
      <c r="B23" s="33" t="e">
        <f>'Материалы тек. рем.'!B21</f>
        <v>#REF!</v>
      </c>
      <c r="D23" s="35" t="e">
        <f>'Материалы тек. рем.'!E21</f>
        <v>#REF!</v>
      </c>
      <c r="F23" s="35"/>
      <c r="G23" s="36"/>
    </row>
    <row r="27" ht="12.75">
      <c r="E27" s="222"/>
    </row>
  </sheetData>
  <sheetProtection selectLockedCells="1" selectUnlockedCells="1"/>
  <mergeCells count="7">
    <mergeCell ref="A1:D1"/>
    <mergeCell ref="A2:C2"/>
    <mergeCell ref="A4:A5"/>
    <mergeCell ref="B4:B5"/>
    <mergeCell ref="C4:C5"/>
    <mergeCell ref="D4:D5"/>
    <mergeCell ref="E4:E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view="pageBreakPreview" zoomScale="80" zoomScaleSheetLayoutView="80" workbookViewId="0" topLeftCell="A1">
      <pane ySplit="6" topLeftCell="A102" activePane="bottomLeft" state="frozen"/>
      <selection pane="topLeft" activeCell="A1" sqref="A1"/>
      <selection pane="bottomLeft" activeCell="E62" sqref="E62"/>
    </sheetView>
  </sheetViews>
  <sheetFormatPr defaultColWidth="9.00390625" defaultRowHeight="12.75"/>
  <cols>
    <col min="1" max="1" width="7.875" style="0" customWidth="1"/>
    <col min="2" max="2" width="53.375" style="0" customWidth="1"/>
    <col min="3" max="3" width="11.875" style="0" customWidth="1"/>
    <col min="4" max="4" width="20.125" style="0" customWidth="1"/>
    <col min="5" max="5" width="12.875" style="0" customWidth="1"/>
  </cols>
  <sheetData>
    <row r="1" spans="1:8" ht="12.75">
      <c r="A1" s="2" t="s">
        <v>352</v>
      </c>
      <c r="B1" s="2"/>
      <c r="C1" s="2"/>
      <c r="D1" s="2"/>
      <c r="E1" s="171"/>
      <c r="F1" s="171"/>
      <c r="G1" s="171"/>
      <c r="H1" s="171"/>
    </row>
    <row r="2" spans="1:8" ht="12.75">
      <c r="A2" s="43" t="s">
        <v>78</v>
      </c>
      <c r="B2" s="43"/>
      <c r="C2" s="173">
        <f>'ФОТ ИТОГО'!D2</f>
        <v>0</v>
      </c>
      <c r="E2" s="173"/>
      <c r="F2" s="173"/>
      <c r="G2" s="173"/>
      <c r="H2" s="173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5" ht="12.75" customHeight="1">
      <c r="A4" s="128" t="s">
        <v>288</v>
      </c>
      <c r="B4" s="175" t="s">
        <v>140</v>
      </c>
      <c r="C4" s="187" t="s">
        <v>344</v>
      </c>
      <c r="D4" s="128" t="s">
        <v>142</v>
      </c>
      <c r="E4" s="5" t="s">
        <v>4</v>
      </c>
    </row>
    <row r="5" spans="1:5" ht="12.75">
      <c r="A5" s="128"/>
      <c r="B5" s="128"/>
      <c r="C5" s="187"/>
      <c r="D5" s="128"/>
      <c r="E5" s="5"/>
    </row>
    <row r="6" spans="1:5" ht="12.75">
      <c r="A6" s="175">
        <v>1</v>
      </c>
      <c r="B6" s="175">
        <v>2</v>
      </c>
      <c r="C6" s="188">
        <v>3</v>
      </c>
      <c r="D6" s="128">
        <v>4</v>
      </c>
      <c r="E6" s="128">
        <v>5</v>
      </c>
    </row>
    <row r="7" spans="1:5" ht="12.75">
      <c r="A7" s="233"/>
      <c r="B7" s="234" t="s">
        <v>345</v>
      </c>
      <c r="C7" s="235"/>
      <c r="D7" s="236"/>
      <c r="E7" s="236"/>
    </row>
    <row r="8" spans="1:5" ht="12.75">
      <c r="A8" s="175">
        <v>1</v>
      </c>
      <c r="B8" s="237" t="s">
        <v>353</v>
      </c>
      <c r="C8" s="188" t="s">
        <v>354</v>
      </c>
      <c r="D8" s="178">
        <f>'Штат '!C56</f>
        <v>0</v>
      </c>
      <c r="E8" s="178"/>
    </row>
    <row r="9" spans="1:5" ht="12.75">
      <c r="A9" s="176">
        <v>2</v>
      </c>
      <c r="B9" s="238" t="s">
        <v>355</v>
      </c>
      <c r="C9" s="239"/>
      <c r="D9" s="178"/>
      <c r="E9" s="178"/>
    </row>
    <row r="10" spans="1:5" ht="12.75">
      <c r="A10" s="175" t="s">
        <v>27</v>
      </c>
      <c r="B10" s="240" t="s">
        <v>356</v>
      </c>
      <c r="C10" s="188" t="s">
        <v>293</v>
      </c>
      <c r="D10" s="178"/>
      <c r="E10" s="178"/>
    </row>
    <row r="11" spans="1:5" ht="12.75">
      <c r="A11" s="175" t="s">
        <v>35</v>
      </c>
      <c r="B11" s="240" t="s">
        <v>357</v>
      </c>
      <c r="C11" s="241"/>
      <c r="D11" s="178"/>
      <c r="E11" s="178"/>
    </row>
    <row r="12" spans="1:5" ht="12.75">
      <c r="A12" s="175" t="s">
        <v>37</v>
      </c>
      <c r="B12" s="240" t="s">
        <v>358</v>
      </c>
      <c r="C12" s="188" t="s">
        <v>293</v>
      </c>
      <c r="D12" s="178"/>
      <c r="E12" s="178"/>
    </row>
    <row r="13" spans="1:5" ht="12.75">
      <c r="A13" s="175" t="s">
        <v>38</v>
      </c>
      <c r="B13" s="240" t="s">
        <v>359</v>
      </c>
      <c r="C13" s="188"/>
      <c r="D13" s="178"/>
      <c r="E13" s="178"/>
    </row>
    <row r="14" spans="1:5" ht="12.75">
      <c r="A14" s="175" t="s">
        <v>40</v>
      </c>
      <c r="B14" s="240" t="s">
        <v>360</v>
      </c>
      <c r="C14" s="188" t="s">
        <v>293</v>
      </c>
      <c r="D14" s="178"/>
      <c r="E14" s="178"/>
    </row>
    <row r="15" spans="1:5" ht="12.75">
      <c r="A15" s="175" t="s">
        <v>361</v>
      </c>
      <c r="B15" s="240" t="s">
        <v>362</v>
      </c>
      <c r="C15" s="188" t="s">
        <v>293</v>
      </c>
      <c r="D15" s="178"/>
      <c r="E15" s="178"/>
    </row>
    <row r="16" spans="1:5" ht="12.75">
      <c r="A16" s="175" t="s">
        <v>363</v>
      </c>
      <c r="B16" s="240" t="s">
        <v>364</v>
      </c>
      <c r="C16" s="188" t="s">
        <v>293</v>
      </c>
      <c r="D16" s="178"/>
      <c r="E16" s="178"/>
    </row>
    <row r="17" spans="1:5" ht="12.75">
      <c r="A17" s="175" t="s">
        <v>365</v>
      </c>
      <c r="B17" s="242" t="s">
        <v>366</v>
      </c>
      <c r="C17" s="241" t="s">
        <v>76</v>
      </c>
      <c r="D17" s="178"/>
      <c r="E17" s="178"/>
    </row>
    <row r="18" spans="1:5" ht="12.75">
      <c r="A18" s="175" t="s">
        <v>367</v>
      </c>
      <c r="B18" s="242" t="s">
        <v>368</v>
      </c>
      <c r="C18" s="241" t="s">
        <v>293</v>
      </c>
      <c r="D18" s="178"/>
      <c r="E18" s="178"/>
    </row>
    <row r="19" spans="1:5" ht="12.75">
      <c r="A19" s="175" t="s">
        <v>369</v>
      </c>
      <c r="B19" s="243" t="s">
        <v>370</v>
      </c>
      <c r="C19" s="239"/>
      <c r="D19" s="178"/>
      <c r="E19" s="178"/>
    </row>
    <row r="20" spans="1:5" ht="12.75">
      <c r="A20" s="175" t="s">
        <v>371</v>
      </c>
      <c r="B20" s="242" t="s">
        <v>372</v>
      </c>
      <c r="C20" s="241" t="s">
        <v>76</v>
      </c>
      <c r="D20" s="178"/>
      <c r="E20" s="178"/>
    </row>
    <row r="21" spans="1:5" ht="12.75">
      <c r="A21" s="175" t="s">
        <v>373</v>
      </c>
      <c r="B21" s="242" t="s">
        <v>374</v>
      </c>
      <c r="C21" s="241" t="s">
        <v>293</v>
      </c>
      <c r="D21" s="178"/>
      <c r="E21" s="178"/>
    </row>
    <row r="22" spans="1:5" ht="12.75">
      <c r="A22" s="176" t="s">
        <v>375</v>
      </c>
      <c r="B22" s="243" t="s">
        <v>376</v>
      </c>
      <c r="C22" s="198"/>
      <c r="D22" s="178"/>
      <c r="E22" s="178"/>
    </row>
    <row r="23" spans="1:5" ht="12.75">
      <c r="A23" s="175" t="s">
        <v>377</v>
      </c>
      <c r="B23" s="242" t="s">
        <v>372</v>
      </c>
      <c r="C23" s="241" t="s">
        <v>76</v>
      </c>
      <c r="D23" s="178"/>
      <c r="E23" s="178"/>
    </row>
    <row r="24" spans="1:5" ht="12.75">
      <c r="A24" s="175" t="s">
        <v>378</v>
      </c>
      <c r="B24" s="242" t="s">
        <v>374</v>
      </c>
      <c r="C24" s="241" t="s">
        <v>293</v>
      </c>
      <c r="D24" s="178"/>
      <c r="E24" s="178"/>
    </row>
    <row r="25" spans="1:5" ht="12.75">
      <c r="A25" s="175" t="s">
        <v>379</v>
      </c>
      <c r="B25" s="242" t="s">
        <v>380</v>
      </c>
      <c r="C25" s="241" t="s">
        <v>293</v>
      </c>
      <c r="D25" s="178"/>
      <c r="E25" s="178"/>
    </row>
    <row r="26" spans="1:5" ht="12.75">
      <c r="A26" s="175" t="s">
        <v>381</v>
      </c>
      <c r="B26" s="242" t="s">
        <v>382</v>
      </c>
      <c r="C26" s="241" t="s">
        <v>293</v>
      </c>
      <c r="D26" s="178"/>
      <c r="E26" s="178"/>
    </row>
    <row r="27" spans="1:5" ht="12.75">
      <c r="A27" s="176" t="s">
        <v>383</v>
      </c>
      <c r="B27" s="243" t="s">
        <v>384</v>
      </c>
      <c r="C27" s="188" t="s">
        <v>293</v>
      </c>
      <c r="D27" s="244" t="e">
        <f>D28/D8/12*1000</f>
        <v>#DIV/0!</v>
      </c>
      <c r="E27" s="244" t="e">
        <f>E28/E8/12*1000</f>
        <v>#DIV/0!</v>
      </c>
    </row>
    <row r="28" spans="1:5" ht="12.75">
      <c r="A28" s="176" t="s">
        <v>385</v>
      </c>
      <c r="B28" s="243" t="s">
        <v>386</v>
      </c>
      <c r="C28" s="241" t="s">
        <v>148</v>
      </c>
      <c r="D28" s="156">
        <f>D33</f>
        <v>0</v>
      </c>
      <c r="E28" s="156">
        <f>E33</f>
        <v>0</v>
      </c>
    </row>
    <row r="29" spans="1:5" ht="12.75">
      <c r="A29" s="176">
        <v>3</v>
      </c>
      <c r="B29" s="238" t="s">
        <v>387</v>
      </c>
      <c r="C29" s="188" t="s">
        <v>148</v>
      </c>
      <c r="D29" s="178"/>
      <c r="E29" s="178"/>
    </row>
    <row r="30" spans="1:5" ht="12.75">
      <c r="A30" s="175" t="s">
        <v>43</v>
      </c>
      <c r="B30" s="240" t="s">
        <v>388</v>
      </c>
      <c r="C30" s="188" t="s">
        <v>148</v>
      </c>
      <c r="D30" s="178"/>
      <c r="E30" s="178"/>
    </row>
    <row r="31" spans="1:5" ht="12.75">
      <c r="A31" s="175" t="s">
        <v>49</v>
      </c>
      <c r="B31" s="240" t="s">
        <v>389</v>
      </c>
      <c r="C31" s="188" t="s">
        <v>148</v>
      </c>
      <c r="D31" s="178"/>
      <c r="E31" s="178"/>
    </row>
    <row r="32" spans="1:5" ht="12.75">
      <c r="A32" s="175" t="s">
        <v>235</v>
      </c>
      <c r="B32" s="240" t="s">
        <v>390</v>
      </c>
      <c r="C32" s="188" t="s">
        <v>148</v>
      </c>
      <c r="D32" s="178"/>
      <c r="E32" s="178"/>
    </row>
    <row r="33" spans="1:5" ht="12.75">
      <c r="A33" s="176" t="s">
        <v>239</v>
      </c>
      <c r="B33" s="243" t="s">
        <v>391</v>
      </c>
      <c r="C33" s="198" t="s">
        <v>148</v>
      </c>
      <c r="D33" s="156">
        <f>'Штат '!O56/1000</f>
        <v>0</v>
      </c>
      <c r="E33" s="156"/>
    </row>
    <row r="34" spans="1:5" ht="12.75">
      <c r="A34" s="176" t="s">
        <v>241</v>
      </c>
      <c r="B34" s="243" t="s">
        <v>392</v>
      </c>
      <c r="C34" s="239" t="s">
        <v>148</v>
      </c>
      <c r="D34" s="156">
        <f>D33*0.302</f>
        <v>0</v>
      </c>
      <c r="E34" s="156">
        <f>E33*0.302</f>
        <v>0</v>
      </c>
    </row>
    <row r="35" spans="1:5" ht="12.75">
      <c r="A35" s="233"/>
      <c r="B35" s="234" t="s">
        <v>348</v>
      </c>
      <c r="C35" s="235"/>
      <c r="D35" s="236"/>
      <c r="E35" s="236"/>
    </row>
    <row r="36" spans="1:5" ht="12.75">
      <c r="A36" s="175">
        <v>1</v>
      </c>
      <c r="B36" s="237" t="s">
        <v>353</v>
      </c>
      <c r="C36" s="188" t="s">
        <v>354</v>
      </c>
      <c r="D36" s="178">
        <f>'Штат '!C57</f>
        <v>1</v>
      </c>
      <c r="E36" s="178">
        <v>1</v>
      </c>
    </row>
    <row r="37" spans="1:5" ht="12.75">
      <c r="A37" s="176">
        <v>2</v>
      </c>
      <c r="B37" s="238" t="s">
        <v>355</v>
      </c>
      <c r="C37" s="239"/>
      <c r="D37" s="178"/>
      <c r="E37" s="178"/>
    </row>
    <row r="38" spans="1:5" ht="12.75">
      <c r="A38" s="175" t="s">
        <v>27</v>
      </c>
      <c r="B38" s="240" t="s">
        <v>356</v>
      </c>
      <c r="C38" s="188" t="s">
        <v>293</v>
      </c>
      <c r="D38" s="178"/>
      <c r="E38" s="178"/>
    </row>
    <row r="39" spans="1:5" ht="12.75">
      <c r="A39" s="175" t="s">
        <v>35</v>
      </c>
      <c r="B39" s="240" t="s">
        <v>357</v>
      </c>
      <c r="C39" s="188"/>
      <c r="D39" s="178"/>
      <c r="E39" s="178"/>
    </row>
    <row r="40" spans="1:5" ht="12.75">
      <c r="A40" s="175" t="s">
        <v>37</v>
      </c>
      <c r="B40" s="240" t="s">
        <v>358</v>
      </c>
      <c r="C40" s="188" t="s">
        <v>293</v>
      </c>
      <c r="D40" s="178"/>
      <c r="E40" s="178"/>
    </row>
    <row r="41" spans="1:5" ht="12.75">
      <c r="A41" s="175" t="s">
        <v>38</v>
      </c>
      <c r="B41" s="240" t="s">
        <v>359</v>
      </c>
      <c r="C41" s="188"/>
      <c r="D41" s="178"/>
      <c r="E41" s="178"/>
    </row>
    <row r="42" spans="1:5" ht="12.75">
      <c r="A42" s="175" t="s">
        <v>40</v>
      </c>
      <c r="B42" s="240" t="s">
        <v>360</v>
      </c>
      <c r="C42" s="188" t="s">
        <v>293</v>
      </c>
      <c r="D42" s="178"/>
      <c r="E42" s="178"/>
    </row>
    <row r="43" spans="1:5" ht="12.75">
      <c r="A43" s="175" t="s">
        <v>361</v>
      </c>
      <c r="B43" s="240" t="s">
        <v>362</v>
      </c>
      <c r="C43" s="188" t="s">
        <v>293</v>
      </c>
      <c r="D43" s="178"/>
      <c r="E43" s="178"/>
    </row>
    <row r="44" spans="1:5" ht="12.75">
      <c r="A44" s="176" t="s">
        <v>363</v>
      </c>
      <c r="B44" s="243" t="s">
        <v>364</v>
      </c>
      <c r="C44" s="188" t="s">
        <v>293</v>
      </c>
      <c r="D44" s="178"/>
      <c r="E44" s="178"/>
    </row>
    <row r="45" spans="1:5" ht="12.75">
      <c r="A45" s="175" t="s">
        <v>365</v>
      </c>
      <c r="B45" s="242" t="s">
        <v>372</v>
      </c>
      <c r="C45" s="241" t="s">
        <v>76</v>
      </c>
      <c r="D45" s="178"/>
      <c r="E45" s="178"/>
    </row>
    <row r="46" spans="1:5" ht="12.75">
      <c r="A46" s="175" t="s">
        <v>367</v>
      </c>
      <c r="B46" s="242" t="s">
        <v>374</v>
      </c>
      <c r="C46" s="241" t="s">
        <v>293</v>
      </c>
      <c r="D46" s="178"/>
      <c r="E46" s="178"/>
    </row>
    <row r="47" spans="1:5" ht="12.75">
      <c r="A47" s="176" t="s">
        <v>369</v>
      </c>
      <c r="B47" s="243" t="s">
        <v>370</v>
      </c>
      <c r="C47" s="239"/>
      <c r="D47" s="178"/>
      <c r="E47" s="178"/>
    </row>
    <row r="48" spans="1:5" ht="12.75">
      <c r="A48" s="175" t="s">
        <v>371</v>
      </c>
      <c r="B48" s="242" t="s">
        <v>372</v>
      </c>
      <c r="C48" s="241" t="s">
        <v>76</v>
      </c>
      <c r="D48" s="178"/>
      <c r="E48" s="178"/>
    </row>
    <row r="49" spans="1:5" ht="12.75">
      <c r="A49" s="175" t="s">
        <v>373</v>
      </c>
      <c r="B49" s="242" t="s">
        <v>374</v>
      </c>
      <c r="C49" s="241" t="s">
        <v>293</v>
      </c>
      <c r="D49" s="178"/>
      <c r="E49" s="178"/>
    </row>
    <row r="50" spans="1:5" ht="12.75">
      <c r="A50" s="176" t="s">
        <v>375</v>
      </c>
      <c r="B50" s="243" t="s">
        <v>376</v>
      </c>
      <c r="C50" s="198"/>
      <c r="D50" s="178"/>
      <c r="E50" s="178"/>
    </row>
    <row r="51" spans="1:5" ht="12.75">
      <c r="A51" s="175" t="s">
        <v>377</v>
      </c>
      <c r="B51" s="242" t="s">
        <v>372</v>
      </c>
      <c r="C51" s="241" t="s">
        <v>76</v>
      </c>
      <c r="D51" s="178"/>
      <c r="E51" s="178"/>
    </row>
    <row r="52" spans="1:5" ht="12.75">
      <c r="A52" s="175" t="s">
        <v>378</v>
      </c>
      <c r="B52" s="242" t="s">
        <v>374</v>
      </c>
      <c r="C52" s="241" t="s">
        <v>293</v>
      </c>
      <c r="D52" s="178"/>
      <c r="E52" s="178"/>
    </row>
    <row r="53" spans="1:5" ht="12.75">
      <c r="A53" s="175" t="s">
        <v>379</v>
      </c>
      <c r="B53" s="242" t="s">
        <v>380</v>
      </c>
      <c r="C53" s="241" t="s">
        <v>293</v>
      </c>
      <c r="D53" s="178"/>
      <c r="E53" s="178"/>
    </row>
    <row r="54" spans="1:5" ht="12.75">
      <c r="A54" s="175" t="s">
        <v>381</v>
      </c>
      <c r="B54" s="242" t="s">
        <v>382</v>
      </c>
      <c r="C54" s="241" t="s">
        <v>293</v>
      </c>
      <c r="D54" s="178"/>
      <c r="E54" s="178"/>
    </row>
    <row r="55" spans="1:5" ht="12.75">
      <c r="A55" s="176" t="s">
        <v>383</v>
      </c>
      <c r="B55" s="243" t="s">
        <v>384</v>
      </c>
      <c r="C55" s="188" t="s">
        <v>293</v>
      </c>
      <c r="D55" s="244">
        <f>D56/D36/12*1000</f>
        <v>7500</v>
      </c>
      <c r="E55" s="244">
        <f>E56/E36/12*1000</f>
        <v>7500</v>
      </c>
    </row>
    <row r="56" spans="1:5" ht="12.75">
      <c r="A56" s="175" t="s">
        <v>385</v>
      </c>
      <c r="B56" s="243" t="s">
        <v>386</v>
      </c>
      <c r="C56" s="241" t="s">
        <v>148</v>
      </c>
      <c r="D56" s="156">
        <f>D61</f>
        <v>90</v>
      </c>
      <c r="E56" s="156">
        <f>E61</f>
        <v>90</v>
      </c>
    </row>
    <row r="57" spans="1:5" ht="12.75">
      <c r="A57" s="176">
        <v>3</v>
      </c>
      <c r="B57" s="238" t="s">
        <v>387</v>
      </c>
      <c r="C57" s="188" t="s">
        <v>148</v>
      </c>
      <c r="D57" s="178"/>
      <c r="E57" s="178"/>
    </row>
    <row r="58" spans="1:5" ht="12.75">
      <c r="A58" s="175" t="s">
        <v>43</v>
      </c>
      <c r="B58" s="240" t="s">
        <v>388</v>
      </c>
      <c r="C58" s="188" t="s">
        <v>148</v>
      </c>
      <c r="D58" s="178"/>
      <c r="E58" s="178"/>
    </row>
    <row r="59" spans="1:5" ht="12.75">
      <c r="A59" s="175" t="s">
        <v>49</v>
      </c>
      <c r="B59" s="240" t="s">
        <v>389</v>
      </c>
      <c r="C59" s="188" t="s">
        <v>148</v>
      </c>
      <c r="D59" s="178"/>
      <c r="E59" s="178"/>
    </row>
    <row r="60" spans="1:5" ht="12.75">
      <c r="A60" s="175" t="s">
        <v>235</v>
      </c>
      <c r="B60" s="240" t="s">
        <v>390</v>
      </c>
      <c r="C60" s="188" t="s">
        <v>148</v>
      </c>
      <c r="D60" s="178"/>
      <c r="E60" s="178"/>
    </row>
    <row r="61" spans="1:5" ht="12.75">
      <c r="A61" s="176" t="s">
        <v>239</v>
      </c>
      <c r="B61" s="243" t="s">
        <v>393</v>
      </c>
      <c r="C61" s="198" t="s">
        <v>148</v>
      </c>
      <c r="D61" s="156">
        <f>'Штат '!O57/1000</f>
        <v>90</v>
      </c>
      <c r="E61" s="156">
        <v>90</v>
      </c>
    </row>
    <row r="62" spans="1:5" ht="12.75">
      <c r="A62" s="176" t="s">
        <v>241</v>
      </c>
      <c r="B62" s="243" t="s">
        <v>392</v>
      </c>
      <c r="C62" s="239" t="s">
        <v>148</v>
      </c>
      <c r="D62" s="156">
        <f>D61*0.302</f>
        <v>27.18</v>
      </c>
      <c r="E62" s="156">
        <f>E61*0.302</f>
        <v>27.18</v>
      </c>
    </row>
    <row r="63" spans="1:5" ht="12.75">
      <c r="A63" s="233"/>
      <c r="B63" s="234" t="s">
        <v>349</v>
      </c>
      <c r="C63" s="235"/>
      <c r="D63" s="236"/>
      <c r="E63" s="236"/>
    </row>
    <row r="64" spans="1:5" ht="12.75">
      <c r="A64" s="176">
        <v>1</v>
      </c>
      <c r="B64" s="238" t="s">
        <v>394</v>
      </c>
      <c r="C64" s="188" t="s">
        <v>354</v>
      </c>
      <c r="D64" s="230">
        <f>'Общехоз. и Админ. расх.'!C67</f>
        <v>1.5</v>
      </c>
      <c r="E64" s="230">
        <f>'Общехоз. и Админ. расх.'!D67</f>
        <v>1.5</v>
      </c>
    </row>
    <row r="65" spans="1:5" ht="12.75">
      <c r="A65" s="176">
        <v>2</v>
      </c>
      <c r="B65" s="238" t="s">
        <v>355</v>
      </c>
      <c r="C65" s="239"/>
      <c r="D65" s="178"/>
      <c r="E65" s="178"/>
    </row>
    <row r="66" spans="1:5" ht="12.75">
      <c r="A66" s="175" t="s">
        <v>27</v>
      </c>
      <c r="B66" s="240" t="s">
        <v>356</v>
      </c>
      <c r="C66" s="188" t="s">
        <v>293</v>
      </c>
      <c r="D66" s="178"/>
      <c r="E66" s="178"/>
    </row>
    <row r="67" spans="1:5" ht="12.75">
      <c r="A67" s="175" t="s">
        <v>35</v>
      </c>
      <c r="B67" s="240" t="s">
        <v>357</v>
      </c>
      <c r="C67" s="188"/>
      <c r="D67" s="178"/>
      <c r="E67" s="178"/>
    </row>
    <row r="68" spans="1:5" ht="12.75">
      <c r="A68" s="175" t="s">
        <v>37</v>
      </c>
      <c r="B68" s="240" t="s">
        <v>358</v>
      </c>
      <c r="C68" s="188" t="s">
        <v>293</v>
      </c>
      <c r="D68" s="178"/>
      <c r="E68" s="178"/>
    </row>
    <row r="69" spans="1:5" ht="12.75">
      <c r="A69" s="175" t="s">
        <v>38</v>
      </c>
      <c r="B69" s="240" t="s">
        <v>359</v>
      </c>
      <c r="C69" s="188"/>
      <c r="D69" s="178"/>
      <c r="E69" s="178"/>
    </row>
    <row r="70" spans="1:5" ht="12.75">
      <c r="A70" s="175" t="s">
        <v>40</v>
      </c>
      <c r="B70" s="240" t="s">
        <v>360</v>
      </c>
      <c r="C70" s="188" t="s">
        <v>293</v>
      </c>
      <c r="D70" s="178"/>
      <c r="E70" s="178"/>
    </row>
    <row r="71" spans="1:5" ht="12.75">
      <c r="A71" s="175" t="s">
        <v>361</v>
      </c>
      <c r="B71" s="240" t="s">
        <v>395</v>
      </c>
      <c r="C71" s="188" t="s">
        <v>293</v>
      </c>
      <c r="D71" s="178"/>
      <c r="E71" s="178"/>
    </row>
    <row r="72" spans="1:5" ht="12.75">
      <c r="A72" s="176" t="s">
        <v>363</v>
      </c>
      <c r="B72" s="243" t="s">
        <v>364</v>
      </c>
      <c r="C72" s="188" t="s">
        <v>293</v>
      </c>
      <c r="D72" s="178"/>
      <c r="E72" s="178"/>
    </row>
    <row r="73" spans="1:5" ht="12.75">
      <c r="A73" s="175" t="s">
        <v>365</v>
      </c>
      <c r="B73" s="242" t="s">
        <v>372</v>
      </c>
      <c r="C73" s="241" t="s">
        <v>76</v>
      </c>
      <c r="D73" s="178"/>
      <c r="E73" s="178"/>
    </row>
    <row r="74" spans="1:5" ht="12.75">
      <c r="A74" s="175" t="s">
        <v>367</v>
      </c>
      <c r="B74" s="242" t="s">
        <v>374</v>
      </c>
      <c r="C74" s="241" t="s">
        <v>293</v>
      </c>
      <c r="D74" s="178"/>
      <c r="E74" s="178"/>
    </row>
    <row r="75" spans="1:5" ht="12.75">
      <c r="A75" s="176" t="s">
        <v>369</v>
      </c>
      <c r="B75" s="243" t="s">
        <v>370</v>
      </c>
      <c r="C75" s="239"/>
      <c r="D75" s="178"/>
      <c r="E75" s="178"/>
    </row>
    <row r="76" spans="1:5" ht="12.75">
      <c r="A76" s="175" t="s">
        <v>371</v>
      </c>
      <c r="B76" s="242" t="s">
        <v>372</v>
      </c>
      <c r="C76" s="241" t="s">
        <v>76</v>
      </c>
      <c r="D76" s="178"/>
      <c r="E76" s="178"/>
    </row>
    <row r="77" spans="1:5" ht="12.75">
      <c r="A77" s="175" t="s">
        <v>373</v>
      </c>
      <c r="B77" s="242" t="s">
        <v>368</v>
      </c>
      <c r="C77" s="241" t="s">
        <v>293</v>
      </c>
      <c r="D77" s="178"/>
      <c r="E77" s="178"/>
    </row>
    <row r="78" spans="1:5" ht="12.75">
      <c r="A78" s="176" t="s">
        <v>375</v>
      </c>
      <c r="B78" s="243" t="s">
        <v>376</v>
      </c>
      <c r="C78" s="198"/>
      <c r="D78" s="178"/>
      <c r="E78" s="178"/>
    </row>
    <row r="79" spans="1:5" ht="12.75">
      <c r="A79" s="175" t="s">
        <v>377</v>
      </c>
      <c r="B79" s="242" t="s">
        <v>372</v>
      </c>
      <c r="C79" s="241" t="s">
        <v>76</v>
      </c>
      <c r="D79" s="178"/>
      <c r="E79" s="178"/>
    </row>
    <row r="80" spans="1:5" ht="12.75">
      <c r="A80" s="175" t="s">
        <v>378</v>
      </c>
      <c r="B80" s="242" t="s">
        <v>374</v>
      </c>
      <c r="C80" s="241" t="s">
        <v>293</v>
      </c>
      <c r="D80" s="178"/>
      <c r="E80" s="178"/>
    </row>
    <row r="81" spans="1:5" ht="12.75">
      <c r="A81" s="175" t="s">
        <v>379</v>
      </c>
      <c r="B81" s="242" t="s">
        <v>380</v>
      </c>
      <c r="C81" s="241" t="s">
        <v>293</v>
      </c>
      <c r="D81" s="178"/>
      <c r="E81" s="178"/>
    </row>
    <row r="82" spans="1:5" ht="12.75">
      <c r="A82" s="175" t="s">
        <v>381</v>
      </c>
      <c r="B82" s="242" t="s">
        <v>382</v>
      </c>
      <c r="C82" s="241" t="s">
        <v>293</v>
      </c>
      <c r="D82" s="178"/>
      <c r="E82" s="178"/>
    </row>
    <row r="83" spans="1:5" ht="12.75">
      <c r="A83" s="176" t="s">
        <v>383</v>
      </c>
      <c r="B83" s="243" t="s">
        <v>384</v>
      </c>
      <c r="C83" s="188" t="s">
        <v>293</v>
      </c>
      <c r="D83" s="244">
        <f>D84/D64/12*1000</f>
        <v>10666.666666666666</v>
      </c>
      <c r="E83" s="244">
        <f>E84/E64/12*1000</f>
        <v>10666.666666666666</v>
      </c>
    </row>
    <row r="84" spans="1:5" ht="12.75">
      <c r="A84" s="176" t="s">
        <v>385</v>
      </c>
      <c r="B84" s="243" t="s">
        <v>386</v>
      </c>
      <c r="C84" s="241" t="s">
        <v>148</v>
      </c>
      <c r="D84" s="230">
        <f>'Общехоз. и Админ. расх.'!C68</f>
        <v>192</v>
      </c>
      <c r="E84" s="230">
        <f>'Общехоз. и Админ. расх.'!D68</f>
        <v>192</v>
      </c>
    </row>
    <row r="85" spans="1:5" ht="12.75">
      <c r="A85" s="176">
        <v>3</v>
      </c>
      <c r="B85" s="238" t="s">
        <v>387</v>
      </c>
      <c r="C85" s="188" t="s">
        <v>148</v>
      </c>
      <c r="D85" s="178"/>
      <c r="E85" s="178"/>
    </row>
    <row r="86" spans="1:5" ht="12.75">
      <c r="A86" s="175" t="s">
        <v>43</v>
      </c>
      <c r="B86" s="240" t="s">
        <v>388</v>
      </c>
      <c r="C86" s="188" t="s">
        <v>148</v>
      </c>
      <c r="D86" s="178"/>
      <c r="E86" s="178"/>
    </row>
    <row r="87" spans="1:5" ht="12.75">
      <c r="A87" s="175" t="s">
        <v>49</v>
      </c>
      <c r="B87" s="240" t="s">
        <v>389</v>
      </c>
      <c r="C87" s="188" t="s">
        <v>148</v>
      </c>
      <c r="D87" s="178"/>
      <c r="E87" s="178"/>
    </row>
    <row r="88" spans="1:5" ht="12.75">
      <c r="A88" s="175" t="s">
        <v>235</v>
      </c>
      <c r="B88" s="240" t="s">
        <v>390</v>
      </c>
      <c r="C88" s="188" t="s">
        <v>148</v>
      </c>
      <c r="D88" s="178"/>
      <c r="E88" s="178"/>
    </row>
    <row r="89" spans="1:5" ht="12.75">
      <c r="A89" s="176" t="s">
        <v>239</v>
      </c>
      <c r="B89" s="243" t="s">
        <v>396</v>
      </c>
      <c r="C89" s="198" t="s">
        <v>148</v>
      </c>
      <c r="D89" s="230">
        <f>D84</f>
        <v>192</v>
      </c>
      <c r="E89" s="230">
        <f>E84</f>
        <v>192</v>
      </c>
    </row>
    <row r="90" spans="1:5" ht="12.75">
      <c r="A90" s="176" t="s">
        <v>241</v>
      </c>
      <c r="B90" s="243" t="s">
        <v>392</v>
      </c>
      <c r="C90" s="239" t="s">
        <v>148</v>
      </c>
      <c r="D90" s="230">
        <f>'Общехоз. и Админ. расх.'!C69</f>
        <v>57.983999999999995</v>
      </c>
      <c r="E90" s="230">
        <f>'Общехоз. и Админ. расх.'!D69</f>
        <v>57.983999999999995</v>
      </c>
    </row>
    <row r="91" spans="1:5" ht="12.75">
      <c r="A91" s="233"/>
      <c r="B91" s="234" t="s">
        <v>350</v>
      </c>
      <c r="C91" s="235"/>
      <c r="D91" s="236"/>
      <c r="E91" s="236"/>
    </row>
    <row r="92" spans="1:5" ht="12.75">
      <c r="A92" s="176">
        <v>1</v>
      </c>
      <c r="B92" s="238" t="s">
        <v>353</v>
      </c>
      <c r="C92" s="188" t="s">
        <v>354</v>
      </c>
      <c r="D92" s="230">
        <f>'Общехоз. и Админ. расх.'!C51</f>
        <v>0</v>
      </c>
      <c r="E92" s="230">
        <f>'Общехоз. и Админ. расх.'!D51</f>
        <v>0</v>
      </c>
    </row>
    <row r="93" spans="1:5" ht="12.75">
      <c r="A93" s="176">
        <v>2</v>
      </c>
      <c r="B93" s="238" t="s">
        <v>355</v>
      </c>
      <c r="C93" s="239"/>
      <c r="D93" s="178"/>
      <c r="E93" s="178"/>
    </row>
    <row r="94" spans="1:5" ht="12.75">
      <c r="A94" s="175" t="s">
        <v>27</v>
      </c>
      <c r="B94" s="240" t="s">
        <v>356</v>
      </c>
      <c r="C94" s="188" t="s">
        <v>293</v>
      </c>
      <c r="D94" s="178"/>
      <c r="E94" s="178"/>
    </row>
    <row r="95" spans="1:5" ht="12.75">
      <c r="A95" s="175" t="s">
        <v>35</v>
      </c>
      <c r="B95" s="240" t="s">
        <v>357</v>
      </c>
      <c r="C95" s="188"/>
      <c r="D95" s="178"/>
      <c r="E95" s="178"/>
    </row>
    <row r="96" spans="1:5" ht="12.75">
      <c r="A96" s="175" t="s">
        <v>37</v>
      </c>
      <c r="B96" s="240" t="s">
        <v>358</v>
      </c>
      <c r="C96" s="188" t="s">
        <v>293</v>
      </c>
      <c r="D96" s="178"/>
      <c r="E96" s="178"/>
    </row>
    <row r="97" spans="1:5" ht="12.75">
      <c r="A97" s="175" t="s">
        <v>38</v>
      </c>
      <c r="B97" s="240" t="s">
        <v>359</v>
      </c>
      <c r="C97" s="188"/>
      <c r="D97" s="178"/>
      <c r="E97" s="178"/>
    </row>
    <row r="98" spans="1:5" ht="12.75">
      <c r="A98" s="175" t="s">
        <v>40</v>
      </c>
      <c r="B98" s="240" t="s">
        <v>360</v>
      </c>
      <c r="C98" s="188" t="s">
        <v>293</v>
      </c>
      <c r="D98" s="178"/>
      <c r="E98" s="178"/>
    </row>
    <row r="99" spans="1:5" ht="12.75">
      <c r="A99" s="175" t="s">
        <v>361</v>
      </c>
      <c r="B99" s="240" t="s">
        <v>395</v>
      </c>
      <c r="C99" s="188" t="s">
        <v>293</v>
      </c>
      <c r="D99" s="178"/>
      <c r="E99" s="178"/>
    </row>
    <row r="100" spans="1:5" ht="12.75">
      <c r="A100" s="176" t="s">
        <v>363</v>
      </c>
      <c r="B100" s="243" t="s">
        <v>364</v>
      </c>
      <c r="C100" s="188" t="s">
        <v>293</v>
      </c>
      <c r="D100" s="178"/>
      <c r="E100" s="178"/>
    </row>
    <row r="101" spans="1:5" ht="12.75">
      <c r="A101" s="175" t="s">
        <v>365</v>
      </c>
      <c r="B101" s="242" t="s">
        <v>372</v>
      </c>
      <c r="C101" s="241" t="s">
        <v>76</v>
      </c>
      <c r="D101" s="178"/>
      <c r="E101" s="178"/>
    </row>
    <row r="102" spans="1:5" ht="12.75">
      <c r="A102" s="175" t="s">
        <v>367</v>
      </c>
      <c r="B102" s="242" t="s">
        <v>374</v>
      </c>
      <c r="C102" s="241" t="s">
        <v>293</v>
      </c>
      <c r="D102" s="178"/>
      <c r="E102" s="178"/>
    </row>
    <row r="103" spans="1:5" ht="12.75">
      <c r="A103" s="176" t="s">
        <v>369</v>
      </c>
      <c r="B103" s="243" t="s">
        <v>370</v>
      </c>
      <c r="C103" s="239"/>
      <c r="D103" s="178"/>
      <c r="E103" s="178"/>
    </row>
    <row r="104" spans="1:5" ht="12.75">
      <c r="A104" s="175" t="s">
        <v>371</v>
      </c>
      <c r="B104" s="242" t="s">
        <v>372</v>
      </c>
      <c r="C104" s="241" t="s">
        <v>76</v>
      </c>
      <c r="D104" s="178"/>
      <c r="E104" s="178"/>
    </row>
    <row r="105" spans="1:5" ht="12.75">
      <c r="A105" s="175" t="s">
        <v>373</v>
      </c>
      <c r="B105" s="242" t="s">
        <v>368</v>
      </c>
      <c r="C105" s="241" t="s">
        <v>293</v>
      </c>
      <c r="D105" s="178"/>
      <c r="E105" s="178"/>
    </row>
    <row r="106" spans="1:5" ht="12.75">
      <c r="A106" s="176" t="s">
        <v>375</v>
      </c>
      <c r="B106" s="243" t="s">
        <v>376</v>
      </c>
      <c r="C106" s="198"/>
      <c r="D106" s="178"/>
      <c r="E106" s="178"/>
    </row>
    <row r="107" spans="1:5" ht="12.75">
      <c r="A107" s="175" t="s">
        <v>377</v>
      </c>
      <c r="B107" s="242" t="s">
        <v>372</v>
      </c>
      <c r="C107" s="241" t="s">
        <v>76</v>
      </c>
      <c r="D107" s="178"/>
      <c r="E107" s="178"/>
    </row>
    <row r="108" spans="1:5" ht="12.75">
      <c r="A108" s="175" t="s">
        <v>378</v>
      </c>
      <c r="B108" s="242" t="s">
        <v>374</v>
      </c>
      <c r="C108" s="241" t="s">
        <v>293</v>
      </c>
      <c r="D108" s="178"/>
      <c r="E108" s="178"/>
    </row>
    <row r="109" spans="1:5" ht="12.75">
      <c r="A109" s="175" t="s">
        <v>379</v>
      </c>
      <c r="B109" s="242" t="s">
        <v>380</v>
      </c>
      <c r="C109" s="241" t="s">
        <v>293</v>
      </c>
      <c r="D109" s="178"/>
      <c r="E109" s="178"/>
    </row>
    <row r="110" spans="1:5" ht="12.75">
      <c r="A110" s="175" t="s">
        <v>381</v>
      </c>
      <c r="B110" s="242" t="s">
        <v>382</v>
      </c>
      <c r="C110" s="241" t="s">
        <v>293</v>
      </c>
      <c r="D110" s="178"/>
      <c r="E110" s="178"/>
    </row>
    <row r="111" spans="1:5" ht="12.75">
      <c r="A111" s="176" t="s">
        <v>383</v>
      </c>
      <c r="B111" s="243" t="s">
        <v>384</v>
      </c>
      <c r="C111" s="188" t="s">
        <v>293</v>
      </c>
      <c r="D111" s="178"/>
      <c r="E111" s="178"/>
    </row>
    <row r="112" spans="1:5" ht="12.75">
      <c r="A112" s="176" t="s">
        <v>385</v>
      </c>
      <c r="B112" s="243" t="s">
        <v>386</v>
      </c>
      <c r="C112" s="241" t="s">
        <v>148</v>
      </c>
      <c r="D112" s="230">
        <f>'Общехоз. и Админ. расх.'!C52</f>
        <v>0</v>
      </c>
      <c r="E112" s="230">
        <f>'Общехоз. и Админ. расх.'!D52</f>
        <v>0</v>
      </c>
    </row>
    <row r="113" spans="1:5" ht="12.75">
      <c r="A113" s="176">
        <v>3</v>
      </c>
      <c r="B113" s="238" t="s">
        <v>387</v>
      </c>
      <c r="C113" s="188" t="s">
        <v>148</v>
      </c>
      <c r="D113" s="178"/>
      <c r="E113" s="178"/>
    </row>
    <row r="114" spans="1:5" ht="12.75">
      <c r="A114" s="175" t="s">
        <v>43</v>
      </c>
      <c r="B114" s="240" t="s">
        <v>388</v>
      </c>
      <c r="C114" s="188" t="s">
        <v>148</v>
      </c>
      <c r="D114" s="178"/>
      <c r="E114" s="178"/>
    </row>
    <row r="115" spans="1:5" ht="12.75">
      <c r="A115" s="175" t="s">
        <v>49</v>
      </c>
      <c r="B115" s="240" t="s">
        <v>389</v>
      </c>
      <c r="C115" s="188" t="s">
        <v>148</v>
      </c>
      <c r="D115" s="178"/>
      <c r="E115" s="178"/>
    </row>
    <row r="116" spans="1:5" ht="12.75">
      <c r="A116" s="175" t="s">
        <v>235</v>
      </c>
      <c r="B116" s="240" t="s">
        <v>390</v>
      </c>
      <c r="C116" s="188" t="s">
        <v>148</v>
      </c>
      <c r="D116" s="178"/>
      <c r="E116" s="178"/>
    </row>
    <row r="117" spans="1:5" ht="12.75">
      <c r="A117" s="176" t="s">
        <v>239</v>
      </c>
      <c r="B117" s="243" t="s">
        <v>397</v>
      </c>
      <c r="C117" s="198" t="s">
        <v>148</v>
      </c>
      <c r="D117" s="230">
        <f>D112</f>
        <v>0</v>
      </c>
      <c r="E117" s="230">
        <f>E112</f>
        <v>0</v>
      </c>
    </row>
    <row r="118" spans="1:5" ht="12.75">
      <c r="A118" s="176" t="s">
        <v>241</v>
      </c>
      <c r="B118" s="243" t="s">
        <v>392</v>
      </c>
      <c r="C118" s="239" t="s">
        <v>148</v>
      </c>
      <c r="D118" s="230">
        <f>'Общехоз. и Админ. расх.'!C53</f>
        <v>0</v>
      </c>
      <c r="E118" s="230">
        <f>'Общехоз. и Админ. расх.'!D53</f>
        <v>0</v>
      </c>
    </row>
    <row r="119" spans="1:8" ht="12.75">
      <c r="A119" s="208"/>
      <c r="B119" s="208"/>
      <c r="C119" s="208"/>
      <c r="D119" s="245"/>
      <c r="E119" s="245"/>
      <c r="F119" s="245"/>
      <c r="G119" s="245"/>
      <c r="H119" s="245"/>
    </row>
    <row r="120" spans="1:8" ht="12.75">
      <c r="A120" s="208"/>
      <c r="B120" s="208"/>
      <c r="C120" s="208"/>
      <c r="D120" s="245"/>
      <c r="E120" s="245"/>
      <c r="F120" s="245"/>
      <c r="G120" s="245"/>
      <c r="H120" s="245"/>
    </row>
    <row r="121" spans="1:8" ht="12.75">
      <c r="A121" s="246" t="s">
        <v>398</v>
      </c>
      <c r="B121" s="246"/>
      <c r="C121" s="246"/>
      <c r="D121" s="246"/>
      <c r="E121" s="246"/>
      <c r="F121" s="246"/>
      <c r="G121" s="246"/>
      <c r="H121" s="246"/>
    </row>
    <row r="122" spans="1:8" ht="12.75">
      <c r="A122" s="247"/>
      <c r="B122" s="247"/>
      <c r="C122" s="208"/>
      <c r="D122" s="208"/>
      <c r="E122" s="208"/>
      <c r="F122" s="208"/>
      <c r="G122" s="208"/>
      <c r="H122" s="208"/>
    </row>
    <row r="123" spans="1:8" ht="12.75" customHeight="1">
      <c r="A123" s="248" t="s">
        <v>399</v>
      </c>
      <c r="B123" s="248"/>
      <c r="C123" s="248"/>
      <c r="D123" s="248"/>
      <c r="E123" s="248"/>
      <c r="F123" s="248"/>
      <c r="G123" s="248"/>
      <c r="H123" s="248"/>
    </row>
    <row r="124" spans="1:8" ht="12.75">
      <c r="A124" s="208"/>
      <c r="B124" s="208"/>
      <c r="C124" s="208"/>
      <c r="D124" s="208"/>
      <c r="E124" s="208"/>
      <c r="F124" s="208"/>
      <c r="G124" s="208"/>
      <c r="H124" s="208"/>
    </row>
    <row r="125" spans="1:7" s="34" customFormat="1" ht="12.75">
      <c r="A125" s="33"/>
      <c r="B125" s="33" t="e">
        <f>'ФОТ ИТОГО'!B23</f>
        <v>#REF!</v>
      </c>
      <c r="D125" s="35" t="e">
        <f>'ФОТ ИТОГО'!D23</f>
        <v>#REF!</v>
      </c>
      <c r="F125" s="35"/>
      <c r="G125" s="36"/>
    </row>
    <row r="126" spans="1:8" ht="12.75">
      <c r="A126" s="174"/>
      <c r="B126" s="174"/>
      <c r="C126" s="174"/>
      <c r="D126" s="174"/>
      <c r="E126" s="174"/>
      <c r="F126" s="174"/>
      <c r="G126" s="174"/>
      <c r="H126" s="174"/>
    </row>
    <row r="127" spans="1:8" ht="12.75">
      <c r="A127" s="174"/>
      <c r="B127" s="174"/>
      <c r="C127" s="174"/>
      <c r="D127" s="174"/>
      <c r="E127" s="174"/>
      <c r="F127" s="174"/>
      <c r="G127" s="174"/>
      <c r="H127" s="174"/>
    </row>
  </sheetData>
  <sheetProtection selectLockedCells="1" selectUnlockedCells="1"/>
  <mergeCells count="9">
    <mergeCell ref="A1:D1"/>
    <mergeCell ref="A2:B2"/>
    <mergeCell ref="A4:A5"/>
    <mergeCell ref="B4:B5"/>
    <mergeCell ref="C4:C5"/>
    <mergeCell ref="D4:D5"/>
    <mergeCell ref="E4:E5"/>
    <mergeCell ref="A121:H121"/>
    <mergeCell ref="A123:H123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="90" zoomScaleSheetLayoutView="90" workbookViewId="0" topLeftCell="A1">
      <selection activeCell="D28" sqref="D28"/>
    </sheetView>
  </sheetViews>
  <sheetFormatPr defaultColWidth="9.00390625" defaultRowHeight="12.75"/>
  <cols>
    <col min="1" max="1" width="6.50390625" style="0" customWidth="1"/>
    <col min="2" max="2" width="58.625" style="0" customWidth="1"/>
    <col min="3" max="3" width="21.625" style="249" customWidth="1"/>
    <col min="4" max="4" width="13.125" style="249" customWidth="1"/>
    <col min="5" max="5" width="9.125" style="249" customWidth="1"/>
    <col min="6" max="6" width="3.50390625" style="249" customWidth="1"/>
    <col min="7" max="7" width="9.875" style="249" customWidth="1"/>
  </cols>
  <sheetData>
    <row r="1" spans="1:6" ht="12.75" customHeight="1">
      <c r="A1" s="250" t="s">
        <v>400</v>
      </c>
      <c r="B1" s="250"/>
      <c r="C1" s="250"/>
      <c r="D1" s="250"/>
      <c r="E1" s="250"/>
      <c r="F1" s="250"/>
    </row>
    <row r="2" spans="1:6" ht="12.75">
      <c r="A2" s="43" t="s">
        <v>78</v>
      </c>
      <c r="B2" s="43"/>
      <c r="C2" s="251">
        <f>'ФОТ ВС'!C2</f>
        <v>0</v>
      </c>
      <c r="E2" s="250"/>
      <c r="F2" s="250"/>
    </row>
    <row r="3" spans="2:6" ht="12.75">
      <c r="B3" s="252" t="s">
        <v>401</v>
      </c>
      <c r="E3" s="253"/>
      <c r="F3" s="253"/>
    </row>
    <row r="4" spans="1:6" ht="12.75">
      <c r="A4" s="254"/>
      <c r="B4" s="255"/>
      <c r="C4" s="255"/>
      <c r="D4" s="255"/>
      <c r="E4" s="255"/>
      <c r="F4" s="255"/>
    </row>
    <row r="5" spans="1:7" ht="12.75" customHeight="1">
      <c r="A5" s="256" t="s">
        <v>2</v>
      </c>
      <c r="B5" s="256" t="s">
        <v>402</v>
      </c>
      <c r="C5" s="128" t="s">
        <v>142</v>
      </c>
      <c r="D5" s="5" t="s">
        <v>4</v>
      </c>
      <c r="E5"/>
      <c r="F5"/>
      <c r="G5"/>
    </row>
    <row r="6" spans="1:7" ht="12.75">
      <c r="A6" s="256"/>
      <c r="B6" s="256"/>
      <c r="C6" s="128"/>
      <c r="D6" s="5"/>
      <c r="E6"/>
      <c r="F6"/>
      <c r="G6"/>
    </row>
    <row r="7" spans="1:7" ht="12.75">
      <c r="A7" s="175">
        <v>1</v>
      </c>
      <c r="B7" s="175">
        <v>2</v>
      </c>
      <c r="C7" s="128">
        <v>3</v>
      </c>
      <c r="D7" s="128">
        <v>4</v>
      </c>
      <c r="E7"/>
      <c r="F7"/>
      <c r="G7"/>
    </row>
    <row r="8" spans="1:7" ht="12.75">
      <c r="A8" s="257" t="s">
        <v>403</v>
      </c>
      <c r="B8" s="258" t="s">
        <v>404</v>
      </c>
      <c r="C8" s="259">
        <f>C9+C13+C14+C15</f>
        <v>24</v>
      </c>
      <c r="D8" s="259">
        <f>D9+D13+D14+D15</f>
        <v>24</v>
      </c>
      <c r="E8"/>
      <c r="F8"/>
      <c r="G8"/>
    </row>
    <row r="9" spans="1:7" ht="12.75">
      <c r="A9" s="260" t="s">
        <v>405</v>
      </c>
      <c r="B9" s="201" t="s">
        <v>406</v>
      </c>
      <c r="C9" s="261"/>
      <c r="D9" s="261"/>
      <c r="E9"/>
      <c r="F9"/>
      <c r="G9"/>
    </row>
    <row r="10" spans="1:7" ht="12.75">
      <c r="A10" s="260" t="s">
        <v>407</v>
      </c>
      <c r="B10" s="203" t="s">
        <v>408</v>
      </c>
      <c r="C10" s="261"/>
      <c r="D10" s="261"/>
      <c r="E10"/>
      <c r="F10"/>
      <c r="G10"/>
    </row>
    <row r="11" spans="2:7" ht="12.75">
      <c r="B11" s="203" t="s">
        <v>409</v>
      </c>
      <c r="C11" s="156"/>
      <c r="D11" s="156"/>
      <c r="E11"/>
      <c r="F11"/>
      <c r="G11"/>
    </row>
    <row r="12" spans="1:7" ht="12.75">
      <c r="A12" s="260"/>
      <c r="B12" s="203" t="s">
        <v>410</v>
      </c>
      <c r="C12" s="262"/>
      <c r="D12" s="262"/>
      <c r="E12"/>
      <c r="F12"/>
      <c r="G12"/>
    </row>
    <row r="13" spans="1:7" ht="12.75">
      <c r="A13" s="260" t="s">
        <v>411</v>
      </c>
      <c r="B13" s="263" t="s">
        <v>412</v>
      </c>
      <c r="C13" s="261"/>
      <c r="D13" s="261"/>
      <c r="E13"/>
      <c r="F13"/>
      <c r="G13"/>
    </row>
    <row r="14" spans="1:7" ht="12.75">
      <c r="A14" s="260" t="s">
        <v>413</v>
      </c>
      <c r="B14" s="263" t="s">
        <v>414</v>
      </c>
      <c r="C14" s="264">
        <v>12</v>
      </c>
      <c r="D14" s="264">
        <v>12</v>
      </c>
      <c r="E14"/>
      <c r="F14"/>
      <c r="G14"/>
    </row>
    <row r="15" spans="1:7" ht="12.75">
      <c r="A15" s="260" t="s">
        <v>415</v>
      </c>
      <c r="B15" s="265" t="s">
        <v>416</v>
      </c>
      <c r="C15" s="264">
        <v>12</v>
      </c>
      <c r="D15" s="264">
        <v>12</v>
      </c>
      <c r="E15"/>
      <c r="F15"/>
      <c r="G15"/>
    </row>
    <row r="16" spans="1:4" s="134" customFormat="1" ht="12.75">
      <c r="A16" s="266" t="s">
        <v>417</v>
      </c>
      <c r="B16" s="267" t="s">
        <v>418</v>
      </c>
      <c r="C16" s="268">
        <f>C17+C25+C29+C30+C31+C32+C33+C34</f>
        <v>261.984</v>
      </c>
      <c r="D16" s="268">
        <f>D17+D25+D29+D30+D31+D32+D33+D34</f>
        <v>261.984</v>
      </c>
    </row>
    <row r="17" spans="1:7" ht="12.75">
      <c r="A17" s="260" t="s">
        <v>419</v>
      </c>
      <c r="B17" s="269" t="s">
        <v>420</v>
      </c>
      <c r="C17" s="264">
        <f>C18+C19+C20+C21+C22+C23+C24</f>
        <v>12</v>
      </c>
      <c r="D17" s="264">
        <f>D18+D19+D20+D21+D22+D23+D24</f>
        <v>12</v>
      </c>
      <c r="E17"/>
      <c r="F17"/>
      <c r="G17"/>
    </row>
    <row r="18" spans="1:7" ht="12.75">
      <c r="A18" s="260" t="s">
        <v>421</v>
      </c>
      <c r="B18" s="270" t="s">
        <v>220</v>
      </c>
      <c r="C18" s="261">
        <v>12</v>
      </c>
      <c r="D18" s="261">
        <v>12</v>
      </c>
      <c r="E18"/>
      <c r="F18"/>
      <c r="G18"/>
    </row>
    <row r="19" spans="1:7" ht="12.75">
      <c r="A19" s="260" t="s">
        <v>422</v>
      </c>
      <c r="B19" s="185" t="s">
        <v>221</v>
      </c>
      <c r="C19" s="271"/>
      <c r="D19" s="271"/>
      <c r="E19"/>
      <c r="F19"/>
      <c r="G19"/>
    </row>
    <row r="20" spans="1:7" ht="12.75">
      <c r="A20" s="260" t="s">
        <v>423</v>
      </c>
      <c r="B20" s="185" t="s">
        <v>223</v>
      </c>
      <c r="C20" s="271"/>
      <c r="D20" s="271"/>
      <c r="E20"/>
      <c r="F20"/>
      <c r="G20"/>
    </row>
    <row r="21" spans="1:7" ht="12.75">
      <c r="A21" s="260" t="s">
        <v>424</v>
      </c>
      <c r="B21" s="272" t="s">
        <v>225</v>
      </c>
      <c r="C21" s="271"/>
      <c r="D21" s="271"/>
      <c r="E21"/>
      <c r="F21"/>
      <c r="G21"/>
    </row>
    <row r="22" spans="1:7" ht="15.75" customHeight="1">
      <c r="A22" s="260" t="s">
        <v>425</v>
      </c>
      <c r="B22" s="272" t="s">
        <v>227</v>
      </c>
      <c r="C22" s="271"/>
      <c r="D22" s="271"/>
      <c r="E22"/>
      <c r="F22"/>
      <c r="G22"/>
    </row>
    <row r="23" spans="1:7" ht="12.75">
      <c r="A23" s="260" t="s">
        <v>426</v>
      </c>
      <c r="B23" s="185" t="s">
        <v>229</v>
      </c>
      <c r="C23" s="271"/>
      <c r="D23" s="271"/>
      <c r="E23"/>
      <c r="F23"/>
      <c r="G23"/>
    </row>
    <row r="24" spans="1:7" ht="12.75">
      <c r="A24" s="260" t="s">
        <v>427</v>
      </c>
      <c r="B24" s="185" t="s">
        <v>231</v>
      </c>
      <c r="C24" s="271"/>
      <c r="D24" s="271"/>
      <c r="E24"/>
      <c r="F24"/>
      <c r="G24"/>
    </row>
    <row r="25" spans="1:7" ht="12.75">
      <c r="A25" s="260" t="s">
        <v>428</v>
      </c>
      <c r="B25" s="232" t="s">
        <v>232</v>
      </c>
      <c r="C25" s="262">
        <f>C27+C28</f>
        <v>249.98399999999998</v>
      </c>
      <c r="D25" s="262">
        <f>D27+D28</f>
        <v>249.98399999999998</v>
      </c>
      <c r="E25"/>
      <c r="F25"/>
      <c r="G25"/>
    </row>
    <row r="26" spans="1:7" ht="12.75">
      <c r="A26" s="260"/>
      <c r="B26" s="203" t="s">
        <v>408</v>
      </c>
      <c r="C26" s="262">
        <f>'Штат '!C29</f>
        <v>1.5</v>
      </c>
      <c r="D26" s="262">
        <v>1.5</v>
      </c>
      <c r="E26"/>
      <c r="F26"/>
      <c r="G26"/>
    </row>
    <row r="27" spans="1:7" ht="12.75">
      <c r="A27" s="260" t="s">
        <v>429</v>
      </c>
      <c r="B27" s="203" t="s">
        <v>233</v>
      </c>
      <c r="C27" s="156">
        <f>'Штат '!O29/1000</f>
        <v>192</v>
      </c>
      <c r="D27" s="156">
        <v>192</v>
      </c>
      <c r="E27"/>
      <c r="F27"/>
      <c r="G27"/>
    </row>
    <row r="28" spans="1:7" ht="12.75">
      <c r="A28" s="260" t="s">
        <v>430</v>
      </c>
      <c r="B28" s="203" t="s">
        <v>234</v>
      </c>
      <c r="C28" s="262">
        <f>C27*0.302</f>
        <v>57.983999999999995</v>
      </c>
      <c r="D28" s="262">
        <f>D27*0.302</f>
        <v>57.983999999999995</v>
      </c>
      <c r="E28"/>
      <c r="F28"/>
      <c r="G28"/>
    </row>
    <row r="29" spans="1:7" ht="12.75">
      <c r="A29" s="260" t="s">
        <v>431</v>
      </c>
      <c r="B29" s="273" t="s">
        <v>432</v>
      </c>
      <c r="C29" s="271"/>
      <c r="D29" s="271"/>
      <c r="E29"/>
      <c r="F29"/>
      <c r="G29"/>
    </row>
    <row r="30" spans="1:7" ht="12.75">
      <c r="A30" s="260" t="s">
        <v>433</v>
      </c>
      <c r="B30" s="273" t="s">
        <v>434</v>
      </c>
      <c r="C30" s="271"/>
      <c r="D30" s="271"/>
      <c r="E30"/>
      <c r="F30"/>
      <c r="G30"/>
    </row>
    <row r="31" spans="1:7" ht="12.75">
      <c r="A31" s="260" t="s">
        <v>435</v>
      </c>
      <c r="B31" s="263" t="s">
        <v>436</v>
      </c>
      <c r="C31" s="271"/>
      <c r="D31" s="271"/>
      <c r="E31"/>
      <c r="F31"/>
      <c r="G31"/>
    </row>
    <row r="32" spans="1:7" ht="12.75">
      <c r="A32" s="260" t="s">
        <v>437</v>
      </c>
      <c r="B32" s="263" t="s">
        <v>438</v>
      </c>
      <c r="C32" s="271"/>
      <c r="D32" s="271"/>
      <c r="E32"/>
      <c r="F32"/>
      <c r="G32"/>
    </row>
    <row r="33" spans="1:7" ht="12.75">
      <c r="A33" s="260" t="s">
        <v>439</v>
      </c>
      <c r="B33" s="263" t="s">
        <v>440</v>
      </c>
      <c r="C33" s="271"/>
      <c r="D33" s="271"/>
      <c r="E33"/>
      <c r="F33"/>
      <c r="G33"/>
    </row>
    <row r="34" spans="1:7" ht="12.75">
      <c r="A34" s="260" t="s">
        <v>441</v>
      </c>
      <c r="B34" s="263" t="s">
        <v>412</v>
      </c>
      <c r="C34" s="262">
        <f>C35+C36</f>
        <v>0</v>
      </c>
      <c r="D34" s="262">
        <f>D35+D36</f>
        <v>0</v>
      </c>
      <c r="E34"/>
      <c r="F34"/>
      <c r="G34"/>
    </row>
    <row r="35" spans="1:7" ht="12.75">
      <c r="A35" s="260" t="s">
        <v>442</v>
      </c>
      <c r="B35" s="274" t="s">
        <v>443</v>
      </c>
      <c r="C35" s="271"/>
      <c r="D35" s="271"/>
      <c r="E35"/>
      <c r="F35"/>
      <c r="G35"/>
    </row>
    <row r="36" spans="1:7" ht="12.75">
      <c r="A36" s="260" t="s">
        <v>444</v>
      </c>
      <c r="B36" s="274" t="s">
        <v>445</v>
      </c>
      <c r="C36" s="271"/>
      <c r="D36" s="271"/>
      <c r="E36"/>
      <c r="F36"/>
      <c r="G36"/>
    </row>
    <row r="37" spans="1:4" s="134" customFormat="1" ht="12.75">
      <c r="A37" s="266" t="s">
        <v>446</v>
      </c>
      <c r="B37" s="275" t="s">
        <v>447</v>
      </c>
      <c r="C37" s="276">
        <f>C8+C16</f>
        <v>285.984</v>
      </c>
      <c r="D37" s="276">
        <f>D8+D16</f>
        <v>285.984</v>
      </c>
    </row>
    <row r="38" spans="1:6" ht="12.75">
      <c r="A38" s="277"/>
      <c r="B38" s="277"/>
      <c r="C38" s="278"/>
      <c r="D38" s="279"/>
      <c r="E38" s="279"/>
      <c r="F38" s="279"/>
    </row>
    <row r="39" ht="12.75" hidden="1"/>
    <row r="40" spans="1:6" ht="12.75" customHeight="1" hidden="1">
      <c r="A40" s="250" t="s">
        <v>400</v>
      </c>
      <c r="B40" s="250"/>
      <c r="C40" s="250"/>
      <c r="D40" s="250"/>
      <c r="E40" s="250"/>
      <c r="F40" s="250"/>
    </row>
    <row r="41" spans="2:6" ht="12.75" hidden="1">
      <c r="B41" s="252" t="s">
        <v>448</v>
      </c>
      <c r="C41" s="280">
        <f>C2</f>
        <v>0</v>
      </c>
      <c r="E41" s="253"/>
      <c r="F41" s="253"/>
    </row>
    <row r="42" spans="1:6" ht="12.75" customHeight="1" hidden="1">
      <c r="A42" s="254" t="s">
        <v>449</v>
      </c>
      <c r="B42" s="254"/>
      <c r="C42" s="254"/>
      <c r="D42" s="254"/>
      <c r="E42" s="254"/>
      <c r="F42" s="254"/>
    </row>
    <row r="43" spans="1:6" ht="12.75" hidden="1">
      <c r="A43" s="254"/>
      <c r="B43" s="255"/>
      <c r="C43" s="255"/>
      <c r="D43" s="255"/>
      <c r="E43" s="255"/>
      <c r="F43" s="255"/>
    </row>
    <row r="44" spans="1:7" ht="12.75" customHeight="1" hidden="1">
      <c r="A44" s="267" t="s">
        <v>450</v>
      </c>
      <c r="B44" s="267"/>
      <c r="C44" s="281">
        <f>'База  распред адм и общехоз  '!E10</f>
        <v>1</v>
      </c>
      <c r="D44" s="281">
        <f>C44</f>
        <v>1</v>
      </c>
      <c r="E44"/>
      <c r="F44"/>
      <c r="G44"/>
    </row>
    <row r="45" spans="1:7" ht="12.75" hidden="1">
      <c r="A45" s="254"/>
      <c r="B45" s="255"/>
      <c r="E45"/>
      <c r="F45"/>
      <c r="G45"/>
    </row>
    <row r="46" spans="1:7" ht="12.75" customHeight="1" hidden="1">
      <c r="A46" s="256" t="s">
        <v>2</v>
      </c>
      <c r="B46" s="256" t="s">
        <v>402</v>
      </c>
      <c r="C46" s="128" t="s">
        <v>142</v>
      </c>
      <c r="D46" s="5" t="s">
        <v>4</v>
      </c>
      <c r="E46"/>
      <c r="F46"/>
      <c r="G46"/>
    </row>
    <row r="47" spans="1:7" ht="12.75" customHeight="1" hidden="1">
      <c r="A47" s="256"/>
      <c r="B47" s="256"/>
      <c r="C47" s="128"/>
      <c r="D47" s="5"/>
      <c r="E47"/>
      <c r="F47"/>
      <c r="G47"/>
    </row>
    <row r="48" spans="1:7" ht="12.75" hidden="1">
      <c r="A48" s="282">
        <v>1</v>
      </c>
      <c r="B48" s="282">
        <v>2</v>
      </c>
      <c r="C48" s="128">
        <v>7</v>
      </c>
      <c r="D48" s="128">
        <v>7</v>
      </c>
      <c r="E48"/>
      <c r="F48"/>
      <c r="G48"/>
    </row>
    <row r="49" spans="1:7" ht="12.75" hidden="1">
      <c r="A49" s="257" t="s">
        <v>403</v>
      </c>
      <c r="B49" s="258" t="s">
        <v>404</v>
      </c>
      <c r="C49" s="259">
        <f>C50+C54+C55+C56</f>
        <v>24</v>
      </c>
      <c r="D49" s="259">
        <f>D50+D54+D55+D56</f>
        <v>24</v>
      </c>
      <c r="E49"/>
      <c r="F49"/>
      <c r="G49"/>
    </row>
    <row r="50" spans="1:7" ht="12.75" hidden="1">
      <c r="A50" s="260" t="s">
        <v>405</v>
      </c>
      <c r="B50" s="201" t="s">
        <v>406</v>
      </c>
      <c r="C50" s="261">
        <f>C52+C53</f>
        <v>0</v>
      </c>
      <c r="D50" s="261">
        <f>D52+D53</f>
        <v>0</v>
      </c>
      <c r="E50"/>
      <c r="F50"/>
      <c r="G50"/>
    </row>
    <row r="51" spans="1:7" ht="12.75" hidden="1">
      <c r="A51" s="260" t="s">
        <v>407</v>
      </c>
      <c r="B51" s="203" t="s">
        <v>408</v>
      </c>
      <c r="C51" s="261">
        <f>C10*C44</f>
        <v>0</v>
      </c>
      <c r="D51" s="261">
        <f>D10*D44</f>
        <v>0</v>
      </c>
      <c r="E51"/>
      <c r="F51"/>
      <c r="G51"/>
    </row>
    <row r="52" spans="2:7" ht="12.75" hidden="1">
      <c r="B52" s="203" t="s">
        <v>409</v>
      </c>
      <c r="C52" s="261">
        <f>C11*C44</f>
        <v>0</v>
      </c>
      <c r="D52" s="261">
        <f>D11*D44</f>
        <v>0</v>
      </c>
      <c r="E52"/>
      <c r="F52"/>
      <c r="G52"/>
    </row>
    <row r="53" spans="1:7" ht="12.75" hidden="1">
      <c r="A53" s="260"/>
      <c r="B53" s="203" t="s">
        <v>410</v>
      </c>
      <c r="C53" s="261">
        <f>C12*C44</f>
        <v>0</v>
      </c>
      <c r="D53" s="261">
        <f>D12*D44</f>
        <v>0</v>
      </c>
      <c r="E53"/>
      <c r="F53"/>
      <c r="G53"/>
    </row>
    <row r="54" spans="1:7" ht="12.75" hidden="1">
      <c r="A54" s="260" t="s">
        <v>411</v>
      </c>
      <c r="B54" s="263" t="s">
        <v>451</v>
      </c>
      <c r="C54" s="261">
        <f>C13*C44</f>
        <v>0</v>
      </c>
      <c r="D54" s="261">
        <f>D13*D44</f>
        <v>0</v>
      </c>
      <c r="E54"/>
      <c r="F54"/>
      <c r="G54"/>
    </row>
    <row r="55" spans="1:7" ht="12.75" hidden="1">
      <c r="A55" s="260" t="s">
        <v>413</v>
      </c>
      <c r="B55" s="263" t="s">
        <v>451</v>
      </c>
      <c r="C55" s="261">
        <f>C14*C44</f>
        <v>12</v>
      </c>
      <c r="D55" s="261">
        <f>D14*D44</f>
        <v>12</v>
      </c>
      <c r="E55"/>
      <c r="F55"/>
      <c r="G55"/>
    </row>
    <row r="56" spans="1:7" ht="12.75" hidden="1">
      <c r="A56" s="260" t="s">
        <v>415</v>
      </c>
      <c r="B56" s="265" t="s">
        <v>451</v>
      </c>
      <c r="C56" s="261">
        <f>C15*C44</f>
        <v>12</v>
      </c>
      <c r="D56" s="261">
        <f>D15*D44</f>
        <v>12</v>
      </c>
      <c r="E56"/>
      <c r="F56"/>
      <c r="G56"/>
    </row>
    <row r="57" spans="1:4" s="134" customFormat="1" ht="12.75" hidden="1">
      <c r="A57" s="266" t="s">
        <v>417</v>
      </c>
      <c r="B57" s="267" t="s">
        <v>418</v>
      </c>
      <c r="C57" s="268">
        <f>C58+C66+C70+C71+C72+C73+C74+C75</f>
        <v>261.984</v>
      </c>
      <c r="D57" s="268">
        <f>D58+D66+D70+D71+D72+D73+D74+D75</f>
        <v>261.984</v>
      </c>
    </row>
    <row r="58" spans="1:7" ht="12.75" hidden="1">
      <c r="A58" s="260" t="s">
        <v>419</v>
      </c>
      <c r="B58" s="269" t="s">
        <v>420</v>
      </c>
      <c r="C58" s="264">
        <f>C59+C60+C61+C62+C63+C64+C65</f>
        <v>12</v>
      </c>
      <c r="D58" s="264">
        <f>D59+D60+D61+D62+D63+D64+D65</f>
        <v>12</v>
      </c>
      <c r="E58"/>
      <c r="F58"/>
      <c r="G58"/>
    </row>
    <row r="59" spans="1:7" ht="12.75" hidden="1">
      <c r="A59" s="260" t="s">
        <v>421</v>
      </c>
      <c r="B59" s="270" t="s">
        <v>220</v>
      </c>
      <c r="C59" s="262">
        <f>C18*C44</f>
        <v>12</v>
      </c>
      <c r="D59" s="262">
        <f>D18*D44</f>
        <v>12</v>
      </c>
      <c r="E59"/>
      <c r="F59"/>
      <c r="G59"/>
    </row>
    <row r="60" spans="1:7" ht="12.75" hidden="1">
      <c r="A60" s="260" t="s">
        <v>422</v>
      </c>
      <c r="B60" s="185" t="s">
        <v>221</v>
      </c>
      <c r="C60" s="262">
        <f>C19*C44</f>
        <v>0</v>
      </c>
      <c r="D60" s="262">
        <f>D19*D44</f>
        <v>0</v>
      </c>
      <c r="E60"/>
      <c r="F60"/>
      <c r="G60"/>
    </row>
    <row r="61" spans="1:7" ht="12.75" hidden="1">
      <c r="A61" s="260" t="s">
        <v>423</v>
      </c>
      <c r="B61" s="185" t="s">
        <v>223</v>
      </c>
      <c r="C61" s="262">
        <f>C20*C44</f>
        <v>0</v>
      </c>
      <c r="D61" s="262">
        <f>D20*D44</f>
        <v>0</v>
      </c>
      <c r="E61"/>
      <c r="F61"/>
      <c r="G61"/>
    </row>
    <row r="62" spans="1:7" ht="12.75" hidden="1">
      <c r="A62" s="260" t="s">
        <v>424</v>
      </c>
      <c r="B62" s="272" t="s">
        <v>225</v>
      </c>
      <c r="C62" s="262">
        <f>C21*C44</f>
        <v>0</v>
      </c>
      <c r="D62" s="262">
        <f>D21*D44</f>
        <v>0</v>
      </c>
      <c r="E62"/>
      <c r="F62"/>
      <c r="G62"/>
    </row>
    <row r="63" spans="1:7" ht="12.75" hidden="1">
      <c r="A63" s="260" t="s">
        <v>425</v>
      </c>
      <c r="B63" s="272" t="s">
        <v>227</v>
      </c>
      <c r="C63" s="262">
        <f>C22*C44</f>
        <v>0</v>
      </c>
      <c r="D63" s="262">
        <f>D22*D44</f>
        <v>0</v>
      </c>
      <c r="E63"/>
      <c r="F63"/>
      <c r="G63"/>
    </row>
    <row r="64" spans="1:7" ht="12.75" hidden="1">
      <c r="A64" s="260" t="s">
        <v>426</v>
      </c>
      <c r="B64" s="185" t="s">
        <v>229</v>
      </c>
      <c r="C64" s="262">
        <f>C23*C44</f>
        <v>0</v>
      </c>
      <c r="D64" s="262">
        <f>D23*D44</f>
        <v>0</v>
      </c>
      <c r="E64"/>
      <c r="F64"/>
      <c r="G64"/>
    </row>
    <row r="65" spans="1:7" ht="12.75" hidden="1">
      <c r="A65" s="260" t="s">
        <v>427</v>
      </c>
      <c r="B65" s="185" t="s">
        <v>231</v>
      </c>
      <c r="C65" s="262">
        <f>C24*C44</f>
        <v>0</v>
      </c>
      <c r="D65" s="262">
        <f>D24*D44</f>
        <v>0</v>
      </c>
      <c r="E65"/>
      <c r="F65"/>
      <c r="G65"/>
    </row>
    <row r="66" spans="1:7" ht="12.75" hidden="1">
      <c r="A66" s="260" t="s">
        <v>428</v>
      </c>
      <c r="B66" s="232" t="s">
        <v>232</v>
      </c>
      <c r="C66" s="262">
        <f>C68+C69</f>
        <v>249.98399999999998</v>
      </c>
      <c r="D66" s="262">
        <f>D68+D69</f>
        <v>249.98399999999998</v>
      </c>
      <c r="E66"/>
      <c r="F66"/>
      <c r="G66"/>
    </row>
    <row r="67" spans="1:7" ht="12.75" hidden="1">
      <c r="A67" s="260"/>
      <c r="B67" s="203" t="s">
        <v>408</v>
      </c>
      <c r="C67" s="262">
        <f>C26*C44</f>
        <v>1.5</v>
      </c>
      <c r="D67" s="262">
        <f>D26*D44</f>
        <v>1.5</v>
      </c>
      <c r="E67"/>
      <c r="F67"/>
      <c r="G67"/>
    </row>
    <row r="68" spans="1:7" ht="12.75" hidden="1">
      <c r="A68" s="260" t="s">
        <v>429</v>
      </c>
      <c r="B68" s="203" t="s">
        <v>233</v>
      </c>
      <c r="C68" s="262">
        <f>C27*C44</f>
        <v>192</v>
      </c>
      <c r="D68" s="262">
        <f>D27*D44</f>
        <v>192</v>
      </c>
      <c r="E68"/>
      <c r="F68"/>
      <c r="G68"/>
    </row>
    <row r="69" spans="1:7" ht="12.75" hidden="1">
      <c r="A69" s="260" t="s">
        <v>430</v>
      </c>
      <c r="B69" s="203" t="s">
        <v>234</v>
      </c>
      <c r="C69" s="262">
        <f>C28*C44</f>
        <v>57.983999999999995</v>
      </c>
      <c r="D69" s="262">
        <f>D28*D44</f>
        <v>57.983999999999995</v>
      </c>
      <c r="E69"/>
      <c r="F69"/>
      <c r="G69"/>
    </row>
    <row r="70" spans="1:7" ht="12.75" hidden="1">
      <c r="A70" s="260" t="s">
        <v>431</v>
      </c>
      <c r="B70" s="273" t="s">
        <v>432</v>
      </c>
      <c r="C70" s="262">
        <f>C29*C44</f>
        <v>0</v>
      </c>
      <c r="D70" s="262">
        <f>D29*D44</f>
        <v>0</v>
      </c>
      <c r="E70"/>
      <c r="F70"/>
      <c r="G70"/>
    </row>
    <row r="71" spans="1:7" ht="12.75" hidden="1">
      <c r="A71" s="260" t="s">
        <v>433</v>
      </c>
      <c r="B71" s="273" t="s">
        <v>434</v>
      </c>
      <c r="C71" s="262">
        <f>C30*C44</f>
        <v>0</v>
      </c>
      <c r="D71" s="262">
        <f>D30*D44</f>
        <v>0</v>
      </c>
      <c r="E71"/>
      <c r="F71"/>
      <c r="G71"/>
    </row>
    <row r="72" spans="1:7" ht="12.75" hidden="1">
      <c r="A72" s="260" t="s">
        <v>435</v>
      </c>
      <c r="B72" s="263" t="s">
        <v>436</v>
      </c>
      <c r="C72" s="262">
        <f>C31*C44</f>
        <v>0</v>
      </c>
      <c r="D72" s="262">
        <f>D31*D44</f>
        <v>0</v>
      </c>
      <c r="E72"/>
      <c r="F72"/>
      <c r="G72"/>
    </row>
    <row r="73" spans="1:7" ht="12.75" hidden="1">
      <c r="A73" s="260" t="s">
        <v>437</v>
      </c>
      <c r="B73" s="263" t="s">
        <v>438</v>
      </c>
      <c r="C73" s="262">
        <f>C32*C44</f>
        <v>0</v>
      </c>
      <c r="D73" s="262">
        <f>D32*D44</f>
        <v>0</v>
      </c>
      <c r="E73"/>
      <c r="F73"/>
      <c r="G73"/>
    </row>
    <row r="74" spans="1:7" ht="12.75" hidden="1">
      <c r="A74" s="260" t="s">
        <v>439</v>
      </c>
      <c r="B74" s="263" t="s">
        <v>440</v>
      </c>
      <c r="C74" s="262">
        <f>C33*C44</f>
        <v>0</v>
      </c>
      <c r="D74" s="262">
        <f>D33*D44</f>
        <v>0</v>
      </c>
      <c r="E74"/>
      <c r="F74"/>
      <c r="G74"/>
    </row>
    <row r="75" spans="1:7" ht="12.75" hidden="1">
      <c r="A75" s="260" t="s">
        <v>441</v>
      </c>
      <c r="B75" s="263" t="s">
        <v>412</v>
      </c>
      <c r="C75" s="262">
        <f>C76+C77</f>
        <v>0</v>
      </c>
      <c r="D75" s="262">
        <f>D76+D77</f>
        <v>0</v>
      </c>
      <c r="E75"/>
      <c r="F75"/>
      <c r="G75"/>
    </row>
    <row r="76" spans="1:7" ht="12.75" hidden="1">
      <c r="A76" s="260" t="s">
        <v>442</v>
      </c>
      <c r="B76" s="274" t="s">
        <v>443</v>
      </c>
      <c r="C76" s="262">
        <f>C35*C44</f>
        <v>0</v>
      </c>
      <c r="D76" s="262">
        <f>D35*D44</f>
        <v>0</v>
      </c>
      <c r="E76"/>
      <c r="F76"/>
      <c r="G76"/>
    </row>
    <row r="77" spans="1:7" ht="12.75" hidden="1">
      <c r="A77" s="260" t="s">
        <v>444</v>
      </c>
      <c r="B77" s="274" t="s">
        <v>445</v>
      </c>
      <c r="C77" s="262">
        <f>C36*C44</f>
        <v>0</v>
      </c>
      <c r="D77" s="262">
        <f>D36*D44</f>
        <v>0</v>
      </c>
      <c r="E77"/>
      <c r="F77"/>
      <c r="G77"/>
    </row>
    <row r="78" spans="1:4" s="134" customFormat="1" ht="12.75" hidden="1">
      <c r="A78" s="266" t="s">
        <v>446</v>
      </c>
      <c r="B78" s="275" t="s">
        <v>447</v>
      </c>
      <c r="C78" s="276">
        <f>C49+C57</f>
        <v>285.984</v>
      </c>
      <c r="D78" s="276">
        <f>D49+D57</f>
        <v>285.984</v>
      </c>
    </row>
    <row r="79" ht="12.75" hidden="1"/>
    <row r="81" spans="1:7" s="34" customFormat="1" ht="12.75">
      <c r="A81" s="33"/>
      <c r="B81" s="33" t="e">
        <f>'ФОТ ВС'!B125</f>
        <v>#REF!</v>
      </c>
      <c r="C81" s="35" t="e">
        <f>'ФОТ ВС'!D125</f>
        <v>#REF!</v>
      </c>
      <c r="F81" s="35"/>
      <c r="G81" s="36"/>
    </row>
  </sheetData>
  <sheetProtection selectLockedCells="1" selectUnlockedCells="1"/>
  <mergeCells count="13">
    <mergeCell ref="A1:F1"/>
    <mergeCell ref="A2:B2"/>
    <mergeCell ref="A5:A6"/>
    <mergeCell ref="B5:B6"/>
    <mergeCell ref="C5:C6"/>
    <mergeCell ref="D5:D6"/>
    <mergeCell ref="A40:F40"/>
    <mergeCell ref="A42:F42"/>
    <mergeCell ref="A44:B44"/>
    <mergeCell ref="A46:A47"/>
    <mergeCell ref="B46:B47"/>
    <mergeCell ref="C46:C47"/>
    <mergeCell ref="D46:D47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view="pageBreakPreview" zoomScale="90" zoomScaleNormal="90" zoomScaleSheetLayoutView="90" workbookViewId="0" topLeftCell="A4">
      <selection activeCell="G22" sqref="G22"/>
    </sheetView>
  </sheetViews>
  <sheetFormatPr defaultColWidth="9.00390625" defaultRowHeight="12.75"/>
  <cols>
    <col min="1" max="1" width="7.125" style="283" customWidth="1"/>
    <col min="2" max="2" width="29.50390625" style="284" customWidth="1"/>
    <col min="3" max="3" width="8.00390625" style="284" customWidth="1"/>
    <col min="4" max="4" width="8.125" style="284" customWidth="1"/>
    <col min="5" max="5" width="7.50390625" style="284" customWidth="1"/>
    <col min="6" max="6" width="9.50390625" style="284" customWidth="1"/>
    <col min="7" max="7" width="10.00390625" style="285" customWidth="1"/>
    <col min="8" max="8" width="5.625" style="285" customWidth="1"/>
    <col min="9" max="9" width="8.375" style="285" customWidth="1"/>
    <col min="10" max="10" width="7.625" style="285" customWidth="1"/>
    <col min="11" max="11" width="8.50390625" style="285" customWidth="1"/>
    <col min="12" max="12" width="6.125" style="285" customWidth="1"/>
    <col min="13" max="13" width="8.375" style="285" customWidth="1"/>
    <col min="14" max="14" width="12.625" style="285" customWidth="1"/>
    <col min="15" max="15" width="12.50390625" style="285" customWidth="1"/>
    <col min="16" max="16" width="11.875" style="284" customWidth="1"/>
    <col min="17" max="17" width="16.50390625" style="284" customWidth="1"/>
    <col min="18" max="16384" width="9.125" style="284" customWidth="1"/>
  </cols>
  <sheetData>
    <row r="1" spans="1:15" s="284" customFormat="1" ht="10.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M1" s="285"/>
      <c r="O1" s="287" t="s">
        <v>452</v>
      </c>
    </row>
    <row r="2" spans="1:15" s="284" customFormat="1" ht="9.7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M2" s="285"/>
      <c r="O2" s="287" t="s">
        <v>453</v>
      </c>
    </row>
    <row r="3" spans="1:15" s="284" customFormat="1" ht="9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M3" s="285"/>
      <c r="O3" s="287" t="s">
        <v>454</v>
      </c>
    </row>
    <row r="4" spans="1:15" s="284" customFormat="1" ht="9.7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M4" s="285"/>
      <c r="O4" s="287" t="s">
        <v>455</v>
      </c>
    </row>
    <row r="5" spans="1:11" s="284" customFormat="1" ht="12.7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5" s="284" customFormat="1" ht="12.7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O6" s="139" t="s">
        <v>456</v>
      </c>
    </row>
    <row r="7" spans="1:15" s="284" customFormat="1" ht="12.75">
      <c r="A7" s="283"/>
      <c r="L7" s="285"/>
      <c r="M7" s="285"/>
      <c r="N7" s="288" t="s">
        <v>457</v>
      </c>
      <c r="O7" s="289"/>
    </row>
    <row r="8" spans="1:15" ht="17.25" customHeight="1">
      <c r="A8" s="290"/>
      <c r="B8" s="291">
        <f>'Общехоз. и Админ. расх.'!C2</f>
        <v>0</v>
      </c>
      <c r="E8" s="292"/>
      <c r="F8" s="292"/>
      <c r="G8" s="292"/>
      <c r="H8" s="292"/>
      <c r="I8" s="292"/>
      <c r="J8" s="292"/>
      <c r="K8" s="292"/>
      <c r="L8" s="292"/>
      <c r="N8" s="288" t="s">
        <v>458</v>
      </c>
      <c r="O8" s="289">
        <v>32703654</v>
      </c>
    </row>
    <row r="9" spans="1:15" s="284" customFormat="1" ht="15" customHeight="1">
      <c r="A9" s="283"/>
      <c r="O9" s="139"/>
    </row>
    <row r="10" spans="1:15" s="284" customFormat="1" ht="12.75" customHeight="1">
      <c r="A10" s="283"/>
      <c r="O10" s="139"/>
    </row>
    <row r="11" spans="7:11" ht="15" customHeight="1">
      <c r="G11" s="284"/>
      <c r="H11" s="293" t="s">
        <v>459</v>
      </c>
      <c r="J11" s="284"/>
      <c r="K11" s="284"/>
    </row>
    <row r="12" spans="7:8" ht="15" customHeight="1">
      <c r="G12" s="284"/>
      <c r="H12" s="285" t="s">
        <v>460</v>
      </c>
    </row>
    <row r="13" spans="1:15" ht="25.5" customHeight="1">
      <c r="A13" s="293" t="s">
        <v>461</v>
      </c>
      <c r="C13" s="294" t="s">
        <v>462</v>
      </c>
      <c r="D13" s="294"/>
      <c r="E13" s="139" t="s">
        <v>463</v>
      </c>
      <c r="F13" s="139"/>
      <c r="H13" s="284" t="s">
        <v>464</v>
      </c>
      <c r="N13" s="295">
        <f>C84</f>
        <v>2.5</v>
      </c>
      <c r="O13" s="284" t="s">
        <v>465</v>
      </c>
    </row>
    <row r="14" spans="1:15" ht="15" customHeight="1">
      <c r="A14" s="285"/>
      <c r="B14" s="285"/>
      <c r="C14" s="296"/>
      <c r="D14" s="296"/>
      <c r="E14" s="297"/>
      <c r="F14" s="297"/>
      <c r="H14" s="284" t="s">
        <v>466</v>
      </c>
      <c r="N14" s="298">
        <f>O84</f>
        <v>282000</v>
      </c>
      <c r="O14" s="284" t="s">
        <v>467</v>
      </c>
    </row>
    <row r="15" spans="1:15" ht="15" customHeight="1">
      <c r="A15" s="284"/>
      <c r="H15" s="284"/>
      <c r="O15" s="284"/>
    </row>
    <row r="16" spans="1:15" ht="12.75" customHeight="1">
      <c r="A16" s="294" t="s">
        <v>468</v>
      </c>
      <c r="B16" s="299"/>
      <c r="C16" s="300" t="s">
        <v>469</v>
      </c>
      <c r="D16" s="301" t="s">
        <v>470</v>
      </c>
      <c r="E16" s="300" t="s">
        <v>471</v>
      </c>
      <c r="F16" s="302" t="s">
        <v>472</v>
      </c>
      <c r="G16" s="303" t="s">
        <v>473</v>
      </c>
      <c r="H16" s="18" t="s">
        <v>474</v>
      </c>
      <c r="I16" s="18"/>
      <c r="J16" s="18"/>
      <c r="K16" s="18"/>
      <c r="L16" s="18" t="s">
        <v>475</v>
      </c>
      <c r="M16" s="18"/>
      <c r="N16" s="300" t="s">
        <v>476</v>
      </c>
      <c r="O16" s="300" t="s">
        <v>477</v>
      </c>
    </row>
    <row r="17" spans="1:15" ht="12.75">
      <c r="A17" s="294"/>
      <c r="B17" s="304" t="s">
        <v>478</v>
      </c>
      <c r="C17" s="300"/>
      <c r="D17" s="301"/>
      <c r="E17" s="300"/>
      <c r="F17" s="305">
        <v>1</v>
      </c>
      <c r="G17" s="306" t="s">
        <v>479</v>
      </c>
      <c r="H17" s="18"/>
      <c r="I17" s="18"/>
      <c r="J17" s="18"/>
      <c r="K17" s="18"/>
      <c r="L17" s="18"/>
      <c r="M17" s="18"/>
      <c r="N17" s="300"/>
      <c r="O17" s="300"/>
    </row>
    <row r="18" spans="1:15" ht="12.75">
      <c r="A18" s="294"/>
      <c r="B18" s="307"/>
      <c r="C18" s="300"/>
      <c r="D18" s="301"/>
      <c r="E18" s="300"/>
      <c r="F18" s="308" t="s">
        <v>480</v>
      </c>
      <c r="G18" s="309" t="s">
        <v>293</v>
      </c>
      <c r="H18" s="297" t="s">
        <v>76</v>
      </c>
      <c r="I18" s="297" t="s">
        <v>481</v>
      </c>
      <c r="J18" s="310" t="s">
        <v>76</v>
      </c>
      <c r="K18" s="310" t="s">
        <v>481</v>
      </c>
      <c r="L18" s="311" t="s">
        <v>76</v>
      </c>
      <c r="M18" s="297" t="s">
        <v>481</v>
      </c>
      <c r="N18" s="300"/>
      <c r="O18" s="300"/>
    </row>
    <row r="19" spans="1:15" ht="12.75">
      <c r="A19" s="302"/>
      <c r="B19" s="299"/>
      <c r="C19" s="312"/>
      <c r="D19" s="313"/>
      <c r="E19" s="314"/>
      <c r="F19" s="314"/>
      <c r="G19" s="299"/>
      <c r="H19" s="313"/>
      <c r="I19" s="299"/>
      <c r="J19" s="313"/>
      <c r="K19" s="299"/>
      <c r="L19" s="313"/>
      <c r="M19" s="299"/>
      <c r="N19" s="299"/>
      <c r="O19" s="299"/>
    </row>
    <row r="20" spans="1:15" ht="12.75">
      <c r="A20" s="315"/>
      <c r="B20" s="316" t="s">
        <v>349</v>
      </c>
      <c r="C20" s="317"/>
      <c r="D20" s="318"/>
      <c r="E20" s="319"/>
      <c r="F20" s="319"/>
      <c r="G20" s="320"/>
      <c r="H20" s="321"/>
      <c r="I20" s="319"/>
      <c r="J20" s="321"/>
      <c r="K20" s="319"/>
      <c r="L20" s="321"/>
      <c r="M20" s="319"/>
      <c r="N20" s="304"/>
      <c r="O20" s="304"/>
    </row>
    <row r="21" spans="1:15" ht="12.75">
      <c r="A21" s="315"/>
      <c r="B21" s="304" t="s">
        <v>482</v>
      </c>
      <c r="C21" s="317">
        <v>1</v>
      </c>
      <c r="D21" s="318"/>
      <c r="E21" s="319"/>
      <c r="F21" s="319"/>
      <c r="G21" s="304">
        <v>11000</v>
      </c>
      <c r="H21" s="321"/>
      <c r="I21" s="319"/>
      <c r="J21" s="321"/>
      <c r="K21" s="319">
        <f>G21*J21/100</f>
        <v>0</v>
      </c>
      <c r="L21" s="321"/>
      <c r="M21" s="319">
        <f>ROUND(G21*L21/100,2)</f>
        <v>0</v>
      </c>
      <c r="N21" s="320">
        <f>G21+K21+M21</f>
        <v>11000</v>
      </c>
      <c r="O21" s="320">
        <f>N21*12</f>
        <v>132000</v>
      </c>
    </row>
    <row r="22" spans="1:15" ht="12.75">
      <c r="A22" s="315"/>
      <c r="B22" s="304" t="s">
        <v>483</v>
      </c>
      <c r="C22" s="317">
        <v>0.5</v>
      </c>
      <c r="D22" s="318"/>
      <c r="E22" s="319"/>
      <c r="F22" s="319"/>
      <c r="G22" s="304">
        <v>5000</v>
      </c>
      <c r="H22" s="321"/>
      <c r="I22" s="319"/>
      <c r="J22" s="321"/>
      <c r="K22" s="319"/>
      <c r="L22" s="321"/>
      <c r="M22" s="319"/>
      <c r="N22" s="320">
        <f>G22+K22+M22</f>
        <v>5000</v>
      </c>
      <c r="O22" s="320">
        <f>N22*12</f>
        <v>60000</v>
      </c>
    </row>
    <row r="23" spans="1:15" ht="7.5" customHeight="1">
      <c r="A23" s="315"/>
      <c r="B23" s="304"/>
      <c r="C23" s="317"/>
      <c r="D23" s="318"/>
      <c r="E23" s="319"/>
      <c r="F23" s="319"/>
      <c r="G23" s="320"/>
      <c r="H23" s="321"/>
      <c r="I23" s="319"/>
      <c r="J23" s="321"/>
      <c r="K23" s="319"/>
      <c r="L23" s="321"/>
      <c r="M23" s="319"/>
      <c r="N23" s="320"/>
      <c r="O23" s="320"/>
    </row>
    <row r="24" spans="1:15" ht="2.25" customHeight="1" hidden="1">
      <c r="A24" s="315"/>
      <c r="B24" s="304"/>
      <c r="C24" s="317"/>
      <c r="D24" s="318"/>
      <c r="E24" s="319"/>
      <c r="F24" s="319"/>
      <c r="G24" s="320"/>
      <c r="H24" s="321"/>
      <c r="I24" s="319"/>
      <c r="J24" s="321"/>
      <c r="K24" s="319"/>
      <c r="L24" s="321"/>
      <c r="M24" s="319"/>
      <c r="N24" s="320"/>
      <c r="O24" s="320"/>
    </row>
    <row r="25" spans="1:15" ht="12.75" hidden="1">
      <c r="A25" s="315"/>
      <c r="B25" s="304"/>
      <c r="C25" s="317"/>
      <c r="D25" s="318"/>
      <c r="E25" s="319"/>
      <c r="F25" s="319"/>
      <c r="G25" s="320"/>
      <c r="H25" s="321"/>
      <c r="I25" s="319"/>
      <c r="J25" s="321"/>
      <c r="K25" s="319"/>
      <c r="L25" s="321"/>
      <c r="M25" s="319"/>
      <c r="N25" s="320"/>
      <c r="O25" s="320"/>
    </row>
    <row r="26" spans="1:15" ht="12.75" hidden="1">
      <c r="A26" s="315"/>
      <c r="B26" s="304"/>
      <c r="C26" s="317"/>
      <c r="D26" s="318"/>
      <c r="E26" s="319"/>
      <c r="F26" s="319"/>
      <c r="G26" s="320"/>
      <c r="H26" s="321"/>
      <c r="I26" s="319"/>
      <c r="J26" s="321"/>
      <c r="K26" s="319"/>
      <c r="L26" s="321"/>
      <c r="M26" s="319"/>
      <c r="N26" s="320"/>
      <c r="O26" s="320"/>
    </row>
    <row r="27" spans="1:15" ht="12.75" hidden="1">
      <c r="A27" s="315"/>
      <c r="B27" s="304"/>
      <c r="C27" s="317"/>
      <c r="D27" s="318"/>
      <c r="E27" s="319"/>
      <c r="F27" s="319"/>
      <c r="G27" s="320"/>
      <c r="H27" s="321"/>
      <c r="I27" s="319"/>
      <c r="J27" s="321"/>
      <c r="K27" s="319"/>
      <c r="L27" s="321"/>
      <c r="M27" s="319"/>
      <c r="N27" s="320"/>
      <c r="O27" s="320"/>
    </row>
    <row r="28" spans="1:15" ht="12.75" hidden="1">
      <c r="A28" s="315"/>
      <c r="B28" s="304"/>
      <c r="C28" s="317"/>
      <c r="D28" s="318"/>
      <c r="E28" s="319"/>
      <c r="F28" s="319"/>
      <c r="G28" s="320"/>
      <c r="H28" s="321"/>
      <c r="I28" s="319"/>
      <c r="J28" s="321"/>
      <c r="K28" s="319"/>
      <c r="L28" s="321"/>
      <c r="M28" s="319"/>
      <c r="N28" s="320"/>
      <c r="O28" s="320"/>
    </row>
    <row r="29" spans="1:15" s="328" customFormat="1" ht="12.75">
      <c r="A29" s="322"/>
      <c r="B29" s="323" t="s">
        <v>484</v>
      </c>
      <c r="C29" s="324">
        <f>SUM(C21:C28)</f>
        <v>1.5</v>
      </c>
      <c r="D29" s="324"/>
      <c r="E29" s="325"/>
      <c r="F29" s="323"/>
      <c r="G29" s="326">
        <f>SUM(G21:G28)</f>
        <v>16000</v>
      </c>
      <c r="H29" s="327"/>
      <c r="I29" s="325">
        <f>SUM(I21:I21)</f>
        <v>0</v>
      </c>
      <c r="J29" s="324"/>
      <c r="K29" s="326"/>
      <c r="L29" s="324"/>
      <c r="M29" s="326">
        <f>SUM(M21:M21)</f>
        <v>0</v>
      </c>
      <c r="N29" s="324">
        <f>SUM(N21:N28)</f>
        <v>16000</v>
      </c>
      <c r="O29" s="324">
        <f>SUM(O21:O28)</f>
        <v>192000</v>
      </c>
    </row>
    <row r="30" spans="1:15" ht="12.75" hidden="1">
      <c r="A30" s="315"/>
      <c r="B30" s="304"/>
      <c r="C30" s="329"/>
      <c r="D30" s="330"/>
      <c r="E30" s="331"/>
      <c r="F30" s="319"/>
      <c r="G30" s="320"/>
      <c r="H30" s="321"/>
      <c r="I30" s="319"/>
      <c r="J30" s="321"/>
      <c r="K30" s="319"/>
      <c r="L30" s="321"/>
      <c r="M30" s="319"/>
      <c r="N30" s="320"/>
      <c r="O30" s="320"/>
    </row>
    <row r="31" spans="1:15" ht="12.75" hidden="1">
      <c r="A31" s="315"/>
      <c r="B31" s="316"/>
      <c r="C31" s="329"/>
      <c r="D31" s="330"/>
      <c r="E31" s="331"/>
      <c r="F31" s="319"/>
      <c r="G31" s="320"/>
      <c r="H31" s="321"/>
      <c r="I31" s="319"/>
      <c r="J31" s="321"/>
      <c r="K31" s="319"/>
      <c r="L31" s="321"/>
      <c r="M31" s="319"/>
      <c r="N31" s="320"/>
      <c r="O31" s="320"/>
    </row>
    <row r="32" spans="1:15" ht="12.75" hidden="1">
      <c r="A32" s="315"/>
      <c r="B32" s="304"/>
      <c r="C32" s="317"/>
      <c r="D32" s="318"/>
      <c r="E32" s="319"/>
      <c r="F32" s="319"/>
      <c r="G32" s="320"/>
      <c r="H32" s="321"/>
      <c r="I32" s="319"/>
      <c r="J32" s="321"/>
      <c r="K32" s="319"/>
      <c r="L32" s="321"/>
      <c r="M32" s="319"/>
      <c r="N32" s="320"/>
      <c r="O32" s="320"/>
    </row>
    <row r="33" spans="1:15" s="328" customFormat="1" ht="12.75" hidden="1">
      <c r="A33" s="322"/>
      <c r="B33" s="323" t="s">
        <v>484</v>
      </c>
      <c r="C33" s="324">
        <f>SUM(C31:C32)</f>
        <v>0</v>
      </c>
      <c r="D33" s="324"/>
      <c r="E33" s="325"/>
      <c r="F33" s="323"/>
      <c r="G33" s="326">
        <f>SUM(G31:G32)</f>
        <v>0</v>
      </c>
      <c r="H33" s="327"/>
      <c r="I33" s="325">
        <f>SUM(I31:I32)</f>
        <v>0</v>
      </c>
      <c r="J33" s="324"/>
      <c r="K33" s="326"/>
      <c r="L33" s="324"/>
      <c r="M33" s="326">
        <f>SUM(M31:M32)</f>
        <v>0</v>
      </c>
      <c r="N33" s="326">
        <f>SUM(N31:N32)</f>
        <v>0</v>
      </c>
      <c r="O33" s="326">
        <f>SUM(O31:O32)</f>
        <v>0</v>
      </c>
    </row>
    <row r="34" spans="1:15" ht="12.75" hidden="1">
      <c r="A34" s="315"/>
      <c r="B34" s="304"/>
      <c r="C34" s="329"/>
      <c r="D34" s="330"/>
      <c r="E34" s="331"/>
      <c r="F34" s="319"/>
      <c r="G34" s="320"/>
      <c r="H34" s="321"/>
      <c r="I34" s="319"/>
      <c r="J34" s="321"/>
      <c r="K34" s="319"/>
      <c r="L34" s="321"/>
      <c r="M34" s="319"/>
      <c r="N34" s="320"/>
      <c r="O34" s="320"/>
    </row>
    <row r="35" spans="1:15" ht="3.75" customHeight="1" hidden="1">
      <c r="A35" s="315"/>
      <c r="B35" s="316"/>
      <c r="C35" s="329"/>
      <c r="D35" s="330"/>
      <c r="E35" s="331"/>
      <c r="F35" s="319"/>
      <c r="G35" s="320"/>
      <c r="H35" s="321"/>
      <c r="I35" s="319"/>
      <c r="J35" s="321"/>
      <c r="K35" s="319"/>
      <c r="L35" s="321"/>
      <c r="M35" s="319"/>
      <c r="N35" s="320"/>
      <c r="O35" s="320"/>
    </row>
    <row r="36" spans="1:15" ht="12.75" hidden="1">
      <c r="A36" s="315"/>
      <c r="B36" s="304"/>
      <c r="C36" s="329"/>
      <c r="D36" s="330"/>
      <c r="E36" s="331"/>
      <c r="F36" s="319"/>
      <c r="G36" s="320"/>
      <c r="H36" s="321"/>
      <c r="I36" s="319"/>
      <c r="J36" s="321"/>
      <c r="K36" s="319"/>
      <c r="L36" s="321"/>
      <c r="M36" s="319"/>
      <c r="N36" s="320"/>
      <c r="O36" s="320"/>
    </row>
    <row r="37" spans="1:15" ht="12.75" hidden="1">
      <c r="A37" s="315"/>
      <c r="B37" s="304"/>
      <c r="C37" s="329"/>
      <c r="D37" s="330"/>
      <c r="E37" s="331"/>
      <c r="F37" s="319"/>
      <c r="G37" s="320"/>
      <c r="H37" s="321"/>
      <c r="I37" s="319"/>
      <c r="J37" s="321"/>
      <c r="K37" s="319"/>
      <c r="L37" s="321"/>
      <c r="M37" s="319"/>
      <c r="N37" s="320"/>
      <c r="O37" s="320"/>
    </row>
    <row r="38" spans="1:15" ht="12.75" hidden="1">
      <c r="A38" s="315"/>
      <c r="B38" s="304"/>
      <c r="C38" s="329"/>
      <c r="D38" s="330"/>
      <c r="E38" s="331"/>
      <c r="F38" s="319"/>
      <c r="G38" s="320"/>
      <c r="H38" s="321"/>
      <c r="I38" s="319"/>
      <c r="J38" s="321"/>
      <c r="K38" s="319"/>
      <c r="L38" s="321"/>
      <c r="M38" s="319"/>
      <c r="N38" s="320"/>
      <c r="O38" s="320"/>
    </row>
    <row r="39" spans="1:15" ht="12.75" hidden="1">
      <c r="A39" s="315"/>
      <c r="B39" s="304"/>
      <c r="C39" s="329"/>
      <c r="D39" s="330"/>
      <c r="E39" s="331"/>
      <c r="F39" s="319"/>
      <c r="G39" s="320"/>
      <c r="H39" s="321"/>
      <c r="I39" s="319"/>
      <c r="J39" s="321"/>
      <c r="K39" s="319"/>
      <c r="L39" s="321"/>
      <c r="M39" s="319"/>
      <c r="N39" s="320"/>
      <c r="O39" s="320"/>
    </row>
    <row r="40" spans="1:15" ht="12.75" hidden="1">
      <c r="A40" s="315"/>
      <c r="B40" s="304"/>
      <c r="C40" s="329"/>
      <c r="D40" s="330"/>
      <c r="E40" s="331"/>
      <c r="F40" s="319"/>
      <c r="G40" s="320"/>
      <c r="H40" s="321"/>
      <c r="I40" s="319"/>
      <c r="J40" s="321"/>
      <c r="K40" s="319"/>
      <c r="L40" s="321"/>
      <c r="M40" s="319"/>
      <c r="N40" s="320"/>
      <c r="O40" s="320"/>
    </row>
    <row r="41" spans="1:15" ht="12.75" hidden="1">
      <c r="A41" s="315"/>
      <c r="B41" s="304"/>
      <c r="C41" s="329"/>
      <c r="D41" s="330"/>
      <c r="E41" s="331"/>
      <c r="F41" s="319"/>
      <c r="G41" s="320"/>
      <c r="H41" s="321"/>
      <c r="I41" s="319"/>
      <c r="J41" s="321"/>
      <c r="K41" s="319"/>
      <c r="L41" s="321"/>
      <c r="M41" s="319"/>
      <c r="N41" s="320"/>
      <c r="O41" s="320"/>
    </row>
    <row r="42" spans="1:15" ht="12.75" hidden="1">
      <c r="A42" s="315"/>
      <c r="B42" s="304"/>
      <c r="C42" s="329"/>
      <c r="D42" s="330"/>
      <c r="E42" s="331"/>
      <c r="F42" s="319"/>
      <c r="G42" s="320"/>
      <c r="H42" s="321"/>
      <c r="I42" s="319"/>
      <c r="J42" s="321"/>
      <c r="K42" s="319"/>
      <c r="L42" s="321"/>
      <c r="M42" s="319"/>
      <c r="N42" s="320"/>
      <c r="O42" s="320"/>
    </row>
    <row r="43" spans="1:15" ht="12.75" hidden="1">
      <c r="A43" s="315"/>
      <c r="B43" s="304"/>
      <c r="C43" s="329"/>
      <c r="D43" s="330"/>
      <c r="E43" s="331"/>
      <c r="F43" s="319"/>
      <c r="G43" s="320"/>
      <c r="H43" s="321"/>
      <c r="I43" s="319"/>
      <c r="J43" s="321"/>
      <c r="K43" s="319"/>
      <c r="L43" s="321"/>
      <c r="M43" s="319"/>
      <c r="N43" s="320"/>
      <c r="O43" s="320"/>
    </row>
    <row r="44" spans="1:15" ht="12.75">
      <c r="A44" s="315"/>
      <c r="B44" s="304"/>
      <c r="C44" s="329"/>
      <c r="D44" s="330"/>
      <c r="E44" s="331"/>
      <c r="F44" s="319"/>
      <c r="G44" s="320"/>
      <c r="H44" s="321"/>
      <c r="I44" s="319"/>
      <c r="J44" s="321"/>
      <c r="K44" s="319"/>
      <c r="L44" s="321"/>
      <c r="M44" s="319"/>
      <c r="N44" s="320"/>
      <c r="O44" s="320"/>
    </row>
    <row r="45" spans="1:15" ht="12.75" hidden="1">
      <c r="A45" s="315"/>
      <c r="B45" s="316" t="s">
        <v>485</v>
      </c>
      <c r="C45" s="329"/>
      <c r="D45" s="330"/>
      <c r="E45" s="331"/>
      <c r="F45" s="319"/>
      <c r="G45" s="320"/>
      <c r="H45" s="321"/>
      <c r="I45" s="319"/>
      <c r="J45" s="321"/>
      <c r="K45" s="319"/>
      <c r="L45" s="321"/>
      <c r="M45" s="319"/>
      <c r="N45" s="320"/>
      <c r="O45" s="320"/>
    </row>
    <row r="46" spans="1:15" ht="12.75" hidden="1">
      <c r="A46" s="315"/>
      <c r="B46" s="304"/>
      <c r="C46" s="329"/>
      <c r="D46" s="330"/>
      <c r="E46" s="331"/>
      <c r="F46" s="319"/>
      <c r="G46" s="320"/>
      <c r="H46" s="321"/>
      <c r="I46" s="319"/>
      <c r="J46" s="321"/>
      <c r="K46" s="319"/>
      <c r="L46" s="321"/>
      <c r="M46" s="319"/>
      <c r="N46" s="320"/>
      <c r="O46" s="320"/>
    </row>
    <row r="47" spans="1:15" s="328" customFormat="1" ht="12.75" hidden="1">
      <c r="A47" s="322"/>
      <c r="B47" s="323" t="s">
        <v>484</v>
      </c>
      <c r="C47" s="324">
        <f>SUM(C36:C46)</f>
        <v>0</v>
      </c>
      <c r="D47" s="324"/>
      <c r="E47" s="325"/>
      <c r="F47" s="323"/>
      <c r="G47" s="326">
        <f>SUM(G35:G46)</f>
        <v>0</v>
      </c>
      <c r="H47" s="327"/>
      <c r="I47" s="325">
        <f>SUM(I35:I35)</f>
        <v>0</v>
      </c>
      <c r="J47" s="324"/>
      <c r="K47" s="326"/>
      <c r="L47" s="324"/>
      <c r="M47" s="326">
        <f>SUM(M35:M35)</f>
        <v>0</v>
      </c>
      <c r="N47" s="324">
        <f>SUM(N35:N46)</f>
        <v>0</v>
      </c>
      <c r="O47" s="326"/>
    </row>
    <row r="48" spans="1:15" s="328" customFormat="1" ht="12.75">
      <c r="A48" s="332"/>
      <c r="B48" s="316"/>
      <c r="C48" s="333"/>
      <c r="D48" s="334"/>
      <c r="E48" s="335"/>
      <c r="F48" s="336"/>
      <c r="G48" s="337"/>
      <c r="H48" s="338"/>
      <c r="I48" s="335"/>
      <c r="J48" s="339"/>
      <c r="K48" s="340"/>
      <c r="L48" s="339"/>
      <c r="M48" s="340"/>
      <c r="N48" s="334"/>
      <c r="O48" s="334"/>
    </row>
    <row r="49" spans="1:15" ht="12.75">
      <c r="A49" s="315"/>
      <c r="B49" s="341" t="s">
        <v>486</v>
      </c>
      <c r="C49" s="329"/>
      <c r="D49" s="330"/>
      <c r="E49" s="331"/>
      <c r="F49" s="319"/>
      <c r="G49" s="320"/>
      <c r="H49" s="342"/>
      <c r="I49" s="331"/>
      <c r="J49" s="342"/>
      <c r="K49" s="319"/>
      <c r="L49" s="342"/>
      <c r="M49" s="319"/>
      <c r="N49" s="320"/>
      <c r="O49" s="320"/>
    </row>
    <row r="50" spans="1:15" ht="12.75">
      <c r="A50" s="315"/>
      <c r="B50" s="304" t="s">
        <v>487</v>
      </c>
      <c r="C50" s="318">
        <v>1</v>
      </c>
      <c r="D50" s="343"/>
      <c r="E50" s="304"/>
      <c r="F50" s="319"/>
      <c r="G50" s="320">
        <v>7500</v>
      </c>
      <c r="H50" s="321"/>
      <c r="I50" s="319"/>
      <c r="J50" s="321"/>
      <c r="K50" s="319"/>
      <c r="L50" s="321"/>
      <c r="M50" s="319"/>
      <c r="N50" s="320">
        <f>G50+K50+M50</f>
        <v>7500</v>
      </c>
      <c r="O50" s="320">
        <f>N50*12</f>
        <v>90000</v>
      </c>
    </row>
    <row r="51" spans="1:15" ht="12.75">
      <c r="A51" s="315"/>
      <c r="B51" s="304" t="s">
        <v>488</v>
      </c>
      <c r="C51" s="318"/>
      <c r="D51" s="343"/>
      <c r="E51" s="304"/>
      <c r="F51" s="319"/>
      <c r="G51" s="320"/>
      <c r="H51" s="321"/>
      <c r="I51" s="319"/>
      <c r="J51" s="321"/>
      <c r="K51" s="319"/>
      <c r="L51" s="321"/>
      <c r="M51" s="319"/>
      <c r="N51" s="320">
        <f>G51+K51+M51</f>
        <v>0</v>
      </c>
      <c r="O51" s="320">
        <f>N51*12</f>
        <v>0</v>
      </c>
    </row>
    <row r="52" spans="1:15" ht="12.75">
      <c r="A52" s="315"/>
      <c r="B52" s="304"/>
      <c r="C52" s="318"/>
      <c r="D52" s="343"/>
      <c r="E52" s="304"/>
      <c r="F52" s="319"/>
      <c r="G52" s="320"/>
      <c r="H52" s="321"/>
      <c r="I52" s="319"/>
      <c r="J52" s="321"/>
      <c r="K52" s="319"/>
      <c r="L52" s="321"/>
      <c r="M52" s="319"/>
      <c r="N52" s="320">
        <f>G52+K52+M52</f>
        <v>0</v>
      </c>
      <c r="O52" s="320">
        <f>N52*12</f>
        <v>0</v>
      </c>
    </row>
    <row r="53" spans="1:15" ht="12.75">
      <c r="A53" s="315"/>
      <c r="B53" s="304"/>
      <c r="C53" s="318"/>
      <c r="D53" s="343"/>
      <c r="E53" s="304"/>
      <c r="F53" s="319"/>
      <c r="G53" s="320"/>
      <c r="H53" s="321"/>
      <c r="I53" s="319"/>
      <c r="J53" s="321"/>
      <c r="K53" s="319"/>
      <c r="L53" s="321"/>
      <c r="M53" s="319"/>
      <c r="N53" s="320">
        <f>G53+K53+M53</f>
        <v>0</v>
      </c>
      <c r="O53" s="320">
        <f>N53*12</f>
        <v>0</v>
      </c>
    </row>
    <row r="54" spans="1:15" ht="12.75">
      <c r="A54" s="315"/>
      <c r="B54" s="344"/>
      <c r="C54" s="318"/>
      <c r="D54" s="343"/>
      <c r="E54" s="304"/>
      <c r="F54" s="319"/>
      <c r="G54" s="320"/>
      <c r="H54" s="321"/>
      <c r="I54" s="319"/>
      <c r="J54" s="321"/>
      <c r="K54" s="319"/>
      <c r="L54" s="321"/>
      <c r="M54" s="319"/>
      <c r="N54" s="320">
        <f>G54+K54+M54</f>
        <v>0</v>
      </c>
      <c r="O54" s="320">
        <f>N54*12</f>
        <v>0</v>
      </c>
    </row>
    <row r="55" spans="1:16" s="328" customFormat="1" ht="12.75">
      <c r="A55" s="322"/>
      <c r="B55" s="345" t="s">
        <v>489</v>
      </c>
      <c r="C55" s="346">
        <f>SUM(C50:C54)</f>
        <v>1</v>
      </c>
      <c r="D55" s="324"/>
      <c r="E55" s="347"/>
      <c r="F55" s="348"/>
      <c r="G55" s="349">
        <f>SUM(G50:G54)</f>
        <v>7500</v>
      </c>
      <c r="H55" s="346"/>
      <c r="I55" s="350">
        <f>SUM(I50:I54)</f>
        <v>0</v>
      </c>
      <c r="J55" s="346"/>
      <c r="K55" s="350"/>
      <c r="L55" s="346"/>
      <c r="M55" s="350">
        <f>SUM(M50:M54)</f>
        <v>0</v>
      </c>
      <c r="N55" s="349">
        <f>SUM(N50:N54)</f>
        <v>7500</v>
      </c>
      <c r="O55" s="326">
        <f>SUM(O50:O54)</f>
        <v>90000</v>
      </c>
      <c r="P55" s="351"/>
    </row>
    <row r="56" spans="1:15" ht="12.75">
      <c r="A56" s="315"/>
      <c r="B56" s="304" t="s">
        <v>490</v>
      </c>
      <c r="C56" s="329">
        <f>C51</f>
        <v>0</v>
      </c>
      <c r="D56" s="330"/>
      <c r="E56" s="331"/>
      <c r="F56" s="319"/>
      <c r="G56" s="320"/>
      <c r="H56" s="321"/>
      <c r="I56" s="319"/>
      <c r="J56" s="321"/>
      <c r="K56" s="319"/>
      <c r="L56" s="321"/>
      <c r="M56" s="319"/>
      <c r="N56" s="329">
        <f>N51</f>
        <v>0</v>
      </c>
      <c r="O56" s="329">
        <f>O51</f>
        <v>0</v>
      </c>
    </row>
    <row r="57" spans="1:15" ht="12.75">
      <c r="A57" s="315"/>
      <c r="B57" s="304" t="s">
        <v>491</v>
      </c>
      <c r="C57" s="329">
        <f>C50</f>
        <v>1</v>
      </c>
      <c r="D57" s="330"/>
      <c r="E57" s="331"/>
      <c r="F57" s="319"/>
      <c r="G57" s="320"/>
      <c r="H57" s="321"/>
      <c r="I57" s="319"/>
      <c r="J57" s="321"/>
      <c r="K57" s="319"/>
      <c r="L57" s="321"/>
      <c r="M57" s="319"/>
      <c r="N57" s="329">
        <f>N50</f>
        <v>7500</v>
      </c>
      <c r="O57" s="329">
        <f>O50</f>
        <v>90000</v>
      </c>
    </row>
    <row r="58" spans="1:15" ht="12.75">
      <c r="A58" s="315"/>
      <c r="B58" s="304"/>
      <c r="C58" s="329"/>
      <c r="D58" s="330"/>
      <c r="E58" s="331"/>
      <c r="F58" s="319"/>
      <c r="G58" s="320"/>
      <c r="H58" s="321"/>
      <c r="I58" s="319"/>
      <c r="J58" s="321"/>
      <c r="K58" s="319"/>
      <c r="L58" s="321"/>
      <c r="M58" s="319"/>
      <c r="N58" s="320"/>
      <c r="O58" s="320"/>
    </row>
    <row r="59" spans="1:15" ht="3" customHeight="1">
      <c r="A59" s="315"/>
      <c r="B59" s="341"/>
      <c r="C59" s="329"/>
      <c r="D59" s="330"/>
      <c r="E59" s="331"/>
      <c r="F59" s="319"/>
      <c r="G59" s="320"/>
      <c r="H59" s="342"/>
      <c r="I59" s="331"/>
      <c r="J59" s="342"/>
      <c r="K59" s="319"/>
      <c r="L59" s="342"/>
      <c r="M59" s="319"/>
      <c r="N59" s="320"/>
      <c r="O59" s="320"/>
    </row>
    <row r="60" spans="1:15" ht="12.75" hidden="1">
      <c r="A60" s="315"/>
      <c r="B60" s="304"/>
      <c r="C60" s="329"/>
      <c r="D60" s="330"/>
      <c r="E60" s="331"/>
      <c r="F60" s="319"/>
      <c r="G60" s="320"/>
      <c r="H60" s="342"/>
      <c r="I60" s="331"/>
      <c r="J60" s="321"/>
      <c r="K60" s="319"/>
      <c r="L60" s="321"/>
      <c r="M60" s="319"/>
      <c r="N60" s="320"/>
      <c r="O60" s="320"/>
    </row>
    <row r="61" spans="1:15" ht="12.75" hidden="1">
      <c r="A61" s="315"/>
      <c r="B61" s="344"/>
      <c r="C61" s="329"/>
      <c r="D61" s="330"/>
      <c r="E61" s="331"/>
      <c r="F61" s="319"/>
      <c r="G61" s="320"/>
      <c r="H61" s="342"/>
      <c r="I61" s="331"/>
      <c r="J61" s="321"/>
      <c r="K61" s="319"/>
      <c r="L61" s="321"/>
      <c r="M61" s="319"/>
      <c r="N61" s="320"/>
      <c r="O61" s="320"/>
    </row>
    <row r="62" spans="1:15" ht="12.75" hidden="1">
      <c r="A62" s="315"/>
      <c r="B62" s="344"/>
      <c r="C62" s="329"/>
      <c r="D62" s="330"/>
      <c r="E62" s="331"/>
      <c r="F62" s="319"/>
      <c r="G62" s="320"/>
      <c r="H62" s="342"/>
      <c r="I62" s="331"/>
      <c r="J62" s="321"/>
      <c r="K62" s="319"/>
      <c r="L62" s="321"/>
      <c r="M62" s="319"/>
      <c r="N62" s="320"/>
      <c r="O62" s="320"/>
    </row>
    <row r="63" spans="1:15" ht="12.75" hidden="1">
      <c r="A63" s="315"/>
      <c r="B63" s="344"/>
      <c r="C63" s="329"/>
      <c r="D63" s="330"/>
      <c r="E63" s="331"/>
      <c r="F63" s="319"/>
      <c r="G63" s="320"/>
      <c r="H63" s="342"/>
      <c r="I63" s="331"/>
      <c r="J63" s="321"/>
      <c r="K63" s="319"/>
      <c r="L63" s="321"/>
      <c r="M63" s="319"/>
      <c r="N63" s="320"/>
      <c r="O63" s="320"/>
    </row>
    <row r="64" spans="1:15" ht="12.75" hidden="1">
      <c r="A64" s="315"/>
      <c r="B64" s="344"/>
      <c r="C64" s="329"/>
      <c r="D64" s="330"/>
      <c r="E64" s="331"/>
      <c r="F64" s="319"/>
      <c r="G64" s="320"/>
      <c r="H64" s="342"/>
      <c r="I64" s="331"/>
      <c r="J64" s="321"/>
      <c r="K64" s="319"/>
      <c r="L64" s="321"/>
      <c r="M64" s="319"/>
      <c r="N64" s="320"/>
      <c r="O64" s="320"/>
    </row>
    <row r="65" spans="1:15" ht="12.75" hidden="1">
      <c r="A65" s="315"/>
      <c r="B65" s="344"/>
      <c r="C65" s="329"/>
      <c r="D65" s="330"/>
      <c r="E65" s="331"/>
      <c r="F65" s="319"/>
      <c r="G65" s="320"/>
      <c r="H65" s="342"/>
      <c r="I65" s="331"/>
      <c r="J65" s="321"/>
      <c r="K65" s="319"/>
      <c r="L65" s="321"/>
      <c r="M65" s="319"/>
      <c r="N65" s="320"/>
      <c r="O65" s="320"/>
    </row>
    <row r="66" spans="1:15" ht="12.75" hidden="1">
      <c r="A66" s="315"/>
      <c r="B66" s="304"/>
      <c r="C66" s="329"/>
      <c r="D66" s="330"/>
      <c r="E66" s="331"/>
      <c r="F66" s="319"/>
      <c r="G66" s="320"/>
      <c r="H66" s="342"/>
      <c r="I66" s="331"/>
      <c r="J66" s="321"/>
      <c r="K66" s="319"/>
      <c r="L66" s="321"/>
      <c r="M66" s="319"/>
      <c r="N66" s="320"/>
      <c r="O66" s="320"/>
    </row>
    <row r="67" spans="1:15" ht="12.75" hidden="1">
      <c r="A67" s="315"/>
      <c r="B67" s="304"/>
      <c r="C67" s="329"/>
      <c r="D67" s="330"/>
      <c r="E67" s="331"/>
      <c r="F67" s="319"/>
      <c r="G67" s="320"/>
      <c r="H67" s="342"/>
      <c r="I67" s="331"/>
      <c r="J67" s="321"/>
      <c r="K67" s="319"/>
      <c r="L67" s="321"/>
      <c r="M67" s="319"/>
      <c r="N67" s="320"/>
      <c r="O67" s="320"/>
    </row>
    <row r="68" spans="1:15" ht="12.75" hidden="1">
      <c r="A68" s="315"/>
      <c r="B68" s="344"/>
      <c r="C68" s="329"/>
      <c r="D68" s="330"/>
      <c r="E68" s="331"/>
      <c r="F68" s="319"/>
      <c r="G68" s="320"/>
      <c r="H68" s="342"/>
      <c r="I68" s="331"/>
      <c r="J68" s="321"/>
      <c r="K68" s="319"/>
      <c r="L68" s="321"/>
      <c r="M68" s="319"/>
      <c r="N68" s="320"/>
      <c r="O68" s="320"/>
    </row>
    <row r="69" spans="1:15" s="328" customFormat="1" ht="12.75" hidden="1">
      <c r="A69" s="322"/>
      <c r="B69" s="345"/>
      <c r="C69" s="324"/>
      <c r="D69" s="324"/>
      <c r="E69" s="325"/>
      <c r="F69" s="323"/>
      <c r="G69" s="326"/>
      <c r="H69" s="324"/>
      <c r="I69" s="325"/>
      <c r="J69" s="324"/>
      <c r="K69" s="325"/>
      <c r="L69" s="324"/>
      <c r="M69" s="325"/>
      <c r="N69" s="324"/>
      <c r="O69" s="324"/>
    </row>
    <row r="70" spans="1:15" s="328" customFormat="1" ht="12.75" hidden="1">
      <c r="A70" s="332"/>
      <c r="B70" s="304"/>
      <c r="C70" s="329"/>
      <c r="D70" s="334"/>
      <c r="E70" s="335"/>
      <c r="F70" s="336"/>
      <c r="G70" s="337"/>
      <c r="H70" s="339"/>
      <c r="I70" s="335"/>
      <c r="J70" s="339"/>
      <c r="K70" s="335"/>
      <c r="L70" s="339"/>
      <c r="M70" s="335"/>
      <c r="N70" s="334"/>
      <c r="O70" s="320"/>
    </row>
    <row r="71" spans="1:15" s="328" customFormat="1" ht="12.75" hidden="1">
      <c r="A71" s="332"/>
      <c r="B71" s="304"/>
      <c r="C71" s="329"/>
      <c r="D71" s="334"/>
      <c r="E71" s="335"/>
      <c r="F71" s="336"/>
      <c r="G71" s="337"/>
      <c r="H71" s="339"/>
      <c r="I71" s="335"/>
      <c r="J71" s="339"/>
      <c r="K71" s="335"/>
      <c r="L71" s="339"/>
      <c r="M71" s="335"/>
      <c r="N71" s="334"/>
      <c r="O71" s="320"/>
    </row>
    <row r="72" spans="1:15" s="328" customFormat="1" ht="12" customHeight="1" hidden="1">
      <c r="A72" s="332"/>
      <c r="B72" s="341"/>
      <c r="C72" s="333"/>
      <c r="D72" s="334"/>
      <c r="E72" s="335"/>
      <c r="F72" s="336"/>
      <c r="G72" s="352"/>
      <c r="H72" s="339"/>
      <c r="I72" s="335"/>
      <c r="J72" s="339"/>
      <c r="K72" s="335"/>
      <c r="L72" s="339"/>
      <c r="M72" s="335"/>
      <c r="N72" s="337"/>
      <c r="O72" s="337"/>
    </row>
    <row r="73" spans="1:15" ht="14.25" customHeight="1" hidden="1">
      <c r="A73" s="315"/>
      <c r="B73" s="353"/>
      <c r="C73" s="329"/>
      <c r="D73" s="330"/>
      <c r="E73" s="331"/>
      <c r="F73" s="319"/>
      <c r="G73" s="320"/>
      <c r="H73" s="342"/>
      <c r="I73" s="331"/>
      <c r="J73" s="342"/>
      <c r="K73" s="319"/>
      <c r="L73" s="342"/>
      <c r="M73" s="319"/>
      <c r="N73" s="320"/>
      <c r="O73" s="320"/>
    </row>
    <row r="74" spans="1:15" ht="12.75" hidden="1">
      <c r="A74" s="315"/>
      <c r="B74" s="344"/>
      <c r="C74" s="329"/>
      <c r="D74" s="330"/>
      <c r="E74" s="331"/>
      <c r="F74" s="319"/>
      <c r="G74" s="320"/>
      <c r="H74" s="342"/>
      <c r="I74" s="331"/>
      <c r="J74" s="321"/>
      <c r="K74" s="319"/>
      <c r="L74" s="342"/>
      <c r="M74" s="319"/>
      <c r="N74" s="320"/>
      <c r="O74" s="320"/>
    </row>
    <row r="75" spans="1:15" ht="12.75" hidden="1">
      <c r="A75" s="315"/>
      <c r="B75" s="344"/>
      <c r="C75" s="329"/>
      <c r="D75" s="330"/>
      <c r="E75" s="331"/>
      <c r="F75" s="319"/>
      <c r="G75" s="320"/>
      <c r="H75" s="342"/>
      <c r="I75" s="331"/>
      <c r="J75" s="321"/>
      <c r="K75" s="319"/>
      <c r="L75" s="342"/>
      <c r="M75" s="319"/>
      <c r="N75" s="320"/>
      <c r="O75" s="320"/>
    </row>
    <row r="76" spans="1:15" ht="12.75" hidden="1">
      <c r="A76" s="315"/>
      <c r="B76" s="344"/>
      <c r="C76" s="329"/>
      <c r="D76" s="330"/>
      <c r="E76" s="331"/>
      <c r="F76" s="319"/>
      <c r="G76" s="320"/>
      <c r="H76" s="342"/>
      <c r="I76" s="331"/>
      <c r="J76" s="321"/>
      <c r="K76" s="319"/>
      <c r="L76" s="342"/>
      <c r="M76" s="319"/>
      <c r="N76" s="320"/>
      <c r="O76" s="320"/>
    </row>
    <row r="77" spans="1:15" ht="12.75" hidden="1">
      <c r="A77" s="315"/>
      <c r="B77" s="344"/>
      <c r="C77" s="329"/>
      <c r="D77" s="330"/>
      <c r="E77" s="331"/>
      <c r="F77" s="319"/>
      <c r="G77" s="320"/>
      <c r="H77" s="342"/>
      <c r="I77" s="331"/>
      <c r="J77" s="321"/>
      <c r="K77" s="319"/>
      <c r="L77" s="342"/>
      <c r="M77" s="319"/>
      <c r="N77" s="320"/>
      <c r="O77" s="320"/>
    </row>
    <row r="78" spans="1:15" ht="12.75" hidden="1">
      <c r="A78" s="315"/>
      <c r="B78" s="344"/>
      <c r="C78" s="329"/>
      <c r="D78" s="330"/>
      <c r="E78" s="331"/>
      <c r="F78" s="319"/>
      <c r="G78" s="320"/>
      <c r="H78" s="342"/>
      <c r="I78" s="331"/>
      <c r="J78" s="321"/>
      <c r="K78" s="319"/>
      <c r="L78" s="342"/>
      <c r="M78" s="319"/>
      <c r="N78" s="320"/>
      <c r="O78" s="320"/>
    </row>
    <row r="79" spans="1:15" ht="12.75" hidden="1">
      <c r="A79" s="315"/>
      <c r="B79" s="344"/>
      <c r="C79" s="329"/>
      <c r="D79" s="330"/>
      <c r="E79" s="331"/>
      <c r="F79" s="319"/>
      <c r="G79" s="320"/>
      <c r="H79" s="342"/>
      <c r="I79" s="331"/>
      <c r="J79" s="321"/>
      <c r="K79" s="319"/>
      <c r="L79" s="342"/>
      <c r="M79" s="319"/>
      <c r="N79" s="320"/>
      <c r="O79" s="320"/>
    </row>
    <row r="80" spans="1:15" ht="12.75" hidden="1">
      <c r="A80" s="315"/>
      <c r="B80" s="344"/>
      <c r="C80" s="329"/>
      <c r="D80" s="330"/>
      <c r="E80" s="331"/>
      <c r="F80" s="319"/>
      <c r="G80" s="320"/>
      <c r="H80" s="342"/>
      <c r="I80" s="331"/>
      <c r="J80" s="321"/>
      <c r="K80" s="319"/>
      <c r="L80" s="342"/>
      <c r="M80" s="319"/>
      <c r="N80" s="320"/>
      <c r="O80" s="320"/>
    </row>
    <row r="81" spans="1:15" ht="12.75" hidden="1">
      <c r="A81" s="315"/>
      <c r="B81" s="344"/>
      <c r="C81" s="329"/>
      <c r="D81" s="330"/>
      <c r="E81" s="331"/>
      <c r="F81" s="319"/>
      <c r="G81" s="320"/>
      <c r="H81" s="342"/>
      <c r="I81" s="331"/>
      <c r="J81" s="321"/>
      <c r="K81" s="319"/>
      <c r="L81" s="342"/>
      <c r="M81" s="319"/>
      <c r="N81" s="320"/>
      <c r="O81" s="320"/>
    </row>
    <row r="82" spans="1:15" ht="12.75" hidden="1">
      <c r="A82" s="322"/>
      <c r="B82" s="345"/>
      <c r="C82" s="354"/>
      <c r="D82" s="324"/>
      <c r="E82" s="347"/>
      <c r="F82" s="348"/>
      <c r="G82" s="355"/>
      <c r="H82" s="356"/>
      <c r="I82" s="347"/>
      <c r="J82" s="324"/>
      <c r="K82" s="325"/>
      <c r="L82" s="324"/>
      <c r="M82" s="325"/>
      <c r="N82" s="326"/>
      <c r="O82" s="326"/>
    </row>
    <row r="83" spans="1:15" ht="12.75" hidden="1">
      <c r="A83" s="332"/>
      <c r="B83" s="341"/>
      <c r="C83" s="333"/>
      <c r="D83" s="334"/>
      <c r="E83" s="335"/>
      <c r="F83" s="336"/>
      <c r="G83" s="352"/>
      <c r="H83" s="339"/>
      <c r="I83" s="335"/>
      <c r="J83" s="339"/>
      <c r="K83" s="335"/>
      <c r="L83" s="339"/>
      <c r="M83" s="335"/>
      <c r="N83" s="337"/>
      <c r="O83" s="337"/>
    </row>
    <row r="84" spans="1:15" ht="12.75">
      <c r="A84" s="357"/>
      <c r="B84" s="358" t="s">
        <v>492</v>
      </c>
      <c r="C84" s="359">
        <f>C29+C33+C47+C55+C69</f>
        <v>2.5</v>
      </c>
      <c r="D84" s="359"/>
      <c r="E84" s="358"/>
      <c r="F84" s="358"/>
      <c r="G84" s="360">
        <f>G29+G33+G47+G55+G69</f>
        <v>23500</v>
      </c>
      <c r="H84" s="359"/>
      <c r="I84" s="359">
        <f>I29+I55+I69+I82</f>
        <v>0</v>
      </c>
      <c r="J84" s="359"/>
      <c r="K84" s="359">
        <f>K29+K55+K69+K82</f>
        <v>0</v>
      </c>
      <c r="L84" s="327"/>
      <c r="M84" s="359">
        <f>M29+M55+M69+M82</f>
        <v>0</v>
      </c>
      <c r="N84" s="359">
        <f>N29+N33+N47+N55+N69</f>
        <v>23500</v>
      </c>
      <c r="O84" s="327">
        <f>O29+O33+O47+O55+O69</f>
        <v>282000</v>
      </c>
    </row>
    <row r="85" spans="1:15" ht="12.75">
      <c r="A85" s="361"/>
      <c r="B85" s="362"/>
      <c r="C85" s="363"/>
      <c r="D85" s="364"/>
      <c r="E85" s="364"/>
      <c r="F85" s="364"/>
      <c r="G85" s="363"/>
      <c r="H85" s="365"/>
      <c r="I85" s="363"/>
      <c r="J85" s="363"/>
      <c r="K85" s="363"/>
      <c r="L85" s="365"/>
      <c r="M85" s="363"/>
      <c r="N85" s="363"/>
      <c r="O85" s="363"/>
    </row>
    <row r="86" ht="36.75" customHeight="1">
      <c r="E86" s="285"/>
    </row>
    <row r="87" spans="1:256" ht="12.75">
      <c r="A87" s="366" t="e">
        <f>'Общехоз. и Админ. расх.'!B81</f>
        <v>#REF!</v>
      </c>
      <c r="B87" s="366"/>
      <c r="C87" s="366"/>
      <c r="E87" s="366"/>
      <c r="F87" s="366" t="e">
        <f>'Общехоз. и Админ. расх.'!C81</f>
        <v>#REF!</v>
      </c>
      <c r="G87" s="366"/>
      <c r="H87" s="366"/>
      <c r="I87" s="367"/>
      <c r="J87" s="366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ht="12.75">
      <c r="E88" s="285"/>
    </row>
  </sheetData>
  <sheetProtection selectLockedCells="1" selectUnlockedCells="1"/>
  <mergeCells count="12">
    <mergeCell ref="A1:K6"/>
    <mergeCell ref="C13:D13"/>
    <mergeCell ref="E13:F13"/>
    <mergeCell ref="C14:D14"/>
    <mergeCell ref="A16:A18"/>
    <mergeCell ref="C16:C18"/>
    <mergeCell ref="D16:D18"/>
    <mergeCell ref="E16:E18"/>
    <mergeCell ref="H16:K17"/>
    <mergeCell ref="L16:M17"/>
    <mergeCell ref="N16:N18"/>
    <mergeCell ref="O16:O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75" zoomScaleSheetLayoutView="100" workbookViewId="0" topLeftCell="A1">
      <selection activeCell="L17" sqref="L17"/>
    </sheetView>
  </sheetViews>
  <sheetFormatPr defaultColWidth="9.00390625" defaultRowHeight="12.75"/>
  <cols>
    <col min="1" max="1" width="5.625" style="368" customWidth="1"/>
    <col min="2" max="2" width="28.00390625" style="368" customWidth="1"/>
    <col min="3" max="3" width="33.00390625" style="368" customWidth="1"/>
    <col min="4" max="4" width="15.00390625" style="368" customWidth="1"/>
    <col min="5" max="5" width="14.00390625" style="368" customWidth="1"/>
    <col min="6" max="6" width="16.00390625" style="368" customWidth="1"/>
    <col min="7" max="16384" width="9.125" style="368" customWidth="1"/>
  </cols>
  <sheetData>
    <row r="1" spans="1:5" ht="51.75" customHeight="1">
      <c r="A1" s="369" t="s">
        <v>493</v>
      </c>
      <c r="B1" s="369"/>
      <c r="C1" s="369"/>
      <c r="D1" s="369"/>
      <c r="E1" s="369"/>
    </row>
    <row r="2" spans="1:4" ht="18.75" customHeight="1">
      <c r="A2" s="43" t="s">
        <v>78</v>
      </c>
      <c r="B2" s="43"/>
      <c r="C2" s="43"/>
      <c r="D2" s="370">
        <f>'Штат '!B8</f>
        <v>0</v>
      </c>
    </row>
    <row r="3" spans="1:4" ht="15" customHeight="1">
      <c r="A3" s="371"/>
      <c r="B3" s="371"/>
      <c r="C3" s="372"/>
      <c r="D3" s="372"/>
    </row>
    <row r="4" spans="1:6" ht="23.25" customHeight="1">
      <c r="A4" s="373"/>
      <c r="B4" s="373"/>
      <c r="C4" s="374"/>
      <c r="D4" s="375" t="s">
        <v>494</v>
      </c>
      <c r="E4" s="375"/>
      <c r="F4" s="376"/>
    </row>
    <row r="5" spans="1:6" ht="18" customHeight="1">
      <c r="A5" s="377"/>
      <c r="B5" s="377"/>
      <c r="C5" s="378"/>
      <c r="D5" s="375"/>
      <c r="E5" s="375" t="s">
        <v>495</v>
      </c>
      <c r="F5" s="376"/>
    </row>
    <row r="6" spans="1:6" ht="12.75">
      <c r="A6" s="377" t="s">
        <v>2</v>
      </c>
      <c r="B6" s="379" t="s">
        <v>496</v>
      </c>
      <c r="C6" s="378" t="s">
        <v>497</v>
      </c>
      <c r="D6" s="378" t="s">
        <v>498</v>
      </c>
      <c r="E6" s="378" t="s">
        <v>499</v>
      </c>
      <c r="F6" s="376"/>
    </row>
    <row r="7" spans="1:6" ht="15" customHeight="1">
      <c r="A7" s="377"/>
      <c r="B7" s="377"/>
      <c r="C7" s="378" t="s">
        <v>500</v>
      </c>
      <c r="D7" s="378" t="s">
        <v>467</v>
      </c>
      <c r="E7" s="378" t="s">
        <v>501</v>
      </c>
      <c r="F7" s="376"/>
    </row>
    <row r="8" spans="1:6" ht="14.25" customHeight="1">
      <c r="A8" s="377"/>
      <c r="B8" s="377"/>
      <c r="C8" s="378"/>
      <c r="D8" s="378"/>
      <c r="E8" s="378" t="s">
        <v>502</v>
      </c>
      <c r="F8" s="376"/>
    </row>
    <row r="9" spans="1:6" ht="15" customHeight="1">
      <c r="A9" s="380"/>
      <c r="B9" s="380"/>
      <c r="C9" s="381"/>
      <c r="D9" s="381"/>
      <c r="E9" s="381" t="s">
        <v>76</v>
      </c>
      <c r="F9" s="168"/>
    </row>
    <row r="10" spans="1:6" ht="16.5" customHeight="1">
      <c r="A10" s="175" t="s">
        <v>405</v>
      </c>
      <c r="B10" s="382" t="s">
        <v>99</v>
      </c>
      <c r="C10" s="128" t="s">
        <v>503</v>
      </c>
      <c r="D10" s="244">
        <f>'Штат '!O55</f>
        <v>90000</v>
      </c>
      <c r="E10" s="383">
        <f>D10/D14</f>
        <v>1</v>
      </c>
      <c r="F10" s="168"/>
    </row>
    <row r="11" spans="1:6" ht="12.75">
      <c r="A11" s="175" t="s">
        <v>411</v>
      </c>
      <c r="B11" s="382" t="s">
        <v>485</v>
      </c>
      <c r="C11" s="128"/>
      <c r="D11" s="244">
        <f>'Штат '!O47</f>
        <v>0</v>
      </c>
      <c r="E11" s="383">
        <f>D11/D14</f>
        <v>0</v>
      </c>
      <c r="F11" s="168"/>
    </row>
    <row r="12" spans="1:6" ht="12.75">
      <c r="A12" s="384" t="s">
        <v>413</v>
      </c>
      <c r="B12" s="382"/>
      <c r="C12" s="128"/>
      <c r="D12" s="244"/>
      <c r="E12" s="156"/>
      <c r="F12" s="168"/>
    </row>
    <row r="13" spans="1:6" ht="12.75">
      <c r="A13" s="175" t="s">
        <v>415</v>
      </c>
      <c r="B13" s="382"/>
      <c r="C13" s="128"/>
      <c r="D13" s="244"/>
      <c r="E13" s="156"/>
      <c r="F13" s="168"/>
    </row>
    <row r="14" spans="1:6" ht="12.75">
      <c r="A14" s="384" t="s">
        <v>504</v>
      </c>
      <c r="B14" s="382" t="s">
        <v>505</v>
      </c>
      <c r="C14" s="381"/>
      <c r="D14" s="244">
        <f>SUM(D10:D13)</f>
        <v>90000</v>
      </c>
      <c r="E14" s="383">
        <f>SUM(E10:E13)</f>
        <v>1</v>
      </c>
      <c r="F14" s="168"/>
    </row>
    <row r="15" spans="1:6" ht="78" customHeight="1">
      <c r="A15" s="385"/>
      <c r="B15" s="386"/>
      <c r="C15" s="376"/>
      <c r="D15" s="168"/>
      <c r="E15" s="168"/>
      <c r="F15" s="168"/>
    </row>
    <row r="16" spans="1:9" ht="12.75">
      <c r="A16" s="387"/>
      <c r="B16" s="387" t="e">
        <f>'Штат '!A87</f>
        <v>#REF!</v>
      </c>
      <c r="D16" s="388" t="e">
        <f>'Штат '!F87</f>
        <v>#REF!</v>
      </c>
      <c r="G16" s="126"/>
      <c r="I16" s="388"/>
    </row>
    <row r="21" ht="12.75" customHeight="1"/>
    <row r="22" ht="16.5" customHeight="1">
      <c r="E22" s="389"/>
    </row>
    <row r="23" ht="18.75" customHeight="1"/>
    <row r="24" ht="16.5" customHeight="1"/>
    <row r="25" ht="21.75" customHeight="1"/>
    <row r="28" ht="18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5" ht="12.75" customHeight="1"/>
    <row r="61" ht="12.75" customHeight="1"/>
    <row r="78" ht="12.75" customHeight="1"/>
    <row r="82" ht="12.75" customHeight="1"/>
    <row r="96" ht="12.75" customHeight="1"/>
  </sheetData>
  <sheetProtection selectLockedCells="1" selectUnlockedCells="1"/>
  <mergeCells count="4">
    <mergeCell ref="A1:E1"/>
    <mergeCell ref="A2:C2"/>
    <mergeCell ref="D4:E4"/>
    <mergeCell ref="C10:C13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5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view="pageBreakPreview" zoomScaleSheetLayoutView="100" workbookViewId="0" topLeftCell="A1">
      <selection activeCell="L19" sqref="L19"/>
    </sheetView>
  </sheetViews>
  <sheetFormatPr defaultColWidth="9.00390625" defaultRowHeight="12.75"/>
  <cols>
    <col min="1" max="1" width="29.875" style="4" customWidth="1"/>
    <col min="2" max="2" width="12.50390625" style="38" customWidth="1"/>
    <col min="3" max="3" width="30.50390625" style="4" customWidth="1"/>
    <col min="4" max="4" width="19.125" style="4" customWidth="1"/>
    <col min="5" max="5" width="10.00390625" style="4" customWidth="1"/>
    <col min="6" max="6" width="9.125" style="4" customWidth="1"/>
    <col min="7" max="7" width="9.50390625" style="4" customWidth="1"/>
    <col min="8" max="16384" width="8.875" style="4" customWidth="1"/>
  </cols>
  <sheetData>
    <row r="1" spans="2:9" s="390" customFormat="1" ht="12.75">
      <c r="B1" s="172" t="s">
        <v>506</v>
      </c>
      <c r="D1" s="171"/>
      <c r="F1" s="171"/>
      <c r="G1" s="171"/>
      <c r="H1" s="171"/>
      <c r="I1" s="171"/>
    </row>
    <row r="2" spans="1:9" ht="12.75">
      <c r="A2" s="45" t="s">
        <v>78</v>
      </c>
      <c r="B2" s="45"/>
      <c r="C2" s="391">
        <f>'База  распред адм и общехоз  '!D2</f>
        <v>0</v>
      </c>
      <c r="D2" s="45"/>
      <c r="F2" s="392"/>
      <c r="G2" s="392"/>
      <c r="H2" s="392"/>
      <c r="I2" s="392"/>
    </row>
    <row r="4" spans="1:256" ht="14.25" customHeight="1">
      <c r="A4" s="175" t="s">
        <v>140</v>
      </c>
      <c r="B4" s="128" t="s">
        <v>344</v>
      </c>
      <c r="C4" s="128" t="s">
        <v>142</v>
      </c>
      <c r="D4" s="5" t="s">
        <v>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175"/>
      <c r="B5" s="128"/>
      <c r="C5" s="128"/>
      <c r="D5" s="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6" s="395" customFormat="1" ht="12.75">
      <c r="A6" s="393" t="s">
        <v>507</v>
      </c>
      <c r="B6" s="175" t="s">
        <v>508</v>
      </c>
      <c r="C6" s="394">
        <f>'Баланс ВС'!J8</f>
        <v>40.64</v>
      </c>
      <c r="D6" s="394">
        <f>'Баланс ВС'!K8</f>
        <v>40.64</v>
      </c>
      <c r="E6" s="4"/>
      <c r="F6" s="4"/>
    </row>
    <row r="7" spans="1:6" s="395" customFormat="1" ht="12.75">
      <c r="A7" s="396" t="s">
        <v>509</v>
      </c>
      <c r="B7" s="175" t="s">
        <v>508</v>
      </c>
      <c r="C7" s="394">
        <f>C6*C8</f>
        <v>37.99035532882525</v>
      </c>
      <c r="D7" s="394">
        <f>D6*D8</f>
        <v>37.99032599335712</v>
      </c>
      <c r="E7" s="4"/>
      <c r="F7" s="4"/>
    </row>
    <row r="8" spans="1:6" s="395" customFormat="1" ht="12.75">
      <c r="A8" s="396" t="s">
        <v>510</v>
      </c>
      <c r="B8" s="175" t="s">
        <v>76</v>
      </c>
      <c r="C8" s="397">
        <f>'Баланс ВС'!J32/'Баланс ВС'!J31</f>
        <v>0.9348020504140071</v>
      </c>
      <c r="D8" s="397">
        <f>'Баланс ВС'!K32/'Баланс ВС'!K31</f>
        <v>0.9348013285767007</v>
      </c>
      <c r="E8" s="4"/>
      <c r="F8" s="4"/>
    </row>
    <row r="9" spans="1:6" ht="12.75">
      <c r="A9" s="396" t="s">
        <v>511</v>
      </c>
      <c r="B9" s="175" t="s">
        <v>508</v>
      </c>
      <c r="C9" s="394">
        <f>C6-C7</f>
        <v>2.649644671174748</v>
      </c>
      <c r="D9" s="394">
        <f>D6-D7</f>
        <v>2.6496740066428828</v>
      </c>
      <c r="E9" s="34"/>
      <c r="F9" s="35"/>
    </row>
    <row r="10" spans="1:6" s="395" customFormat="1" ht="12.75">
      <c r="A10" s="396" t="s">
        <v>510</v>
      </c>
      <c r="B10" s="175" t="s">
        <v>76</v>
      </c>
      <c r="C10" s="397">
        <f>100%-C8</f>
        <v>0.0651979495859929</v>
      </c>
      <c r="D10" s="397">
        <f>100%-D8</f>
        <v>0.06519867142329927</v>
      </c>
      <c r="E10" s="4"/>
      <c r="F10" s="4"/>
    </row>
    <row r="11" spans="1:6" s="395" customFormat="1" ht="12.75">
      <c r="A11" s="398" t="s">
        <v>512</v>
      </c>
      <c r="B11" s="175"/>
      <c r="C11" s="397"/>
      <c r="D11" s="397"/>
      <c r="E11" s="4"/>
      <c r="F11" s="4"/>
    </row>
    <row r="12" spans="1:4" ht="12" customHeight="1">
      <c r="A12" s="399" t="s">
        <v>513</v>
      </c>
      <c r="B12" s="400" t="s">
        <v>293</v>
      </c>
      <c r="C12" s="401">
        <v>122</v>
      </c>
      <c r="D12" s="401">
        <v>122</v>
      </c>
    </row>
    <row r="13" spans="1:4" ht="12.75">
      <c r="A13" s="399" t="s">
        <v>514</v>
      </c>
      <c r="B13" s="400" t="s">
        <v>293</v>
      </c>
      <c r="C13" s="402">
        <v>998</v>
      </c>
      <c r="D13" s="402">
        <v>998</v>
      </c>
    </row>
    <row r="14" spans="1:4" ht="12.75">
      <c r="A14" s="393" t="s">
        <v>515</v>
      </c>
      <c r="B14" s="175" t="s">
        <v>516</v>
      </c>
      <c r="C14" s="394">
        <f>ROUND((C7*C12+C9*C13)/1000,2)</f>
        <v>7.28</v>
      </c>
      <c r="D14" s="394">
        <f>ROUND((D7*D12+D9*D13)/1000,2)</f>
        <v>7.28</v>
      </c>
    </row>
    <row r="15" spans="1:2" ht="12.75">
      <c r="A15" s="403"/>
      <c r="B15" s="404"/>
    </row>
    <row r="17" ht="12.75">
      <c r="A17" s="405"/>
    </row>
    <row r="20" spans="1:9" s="34" customFormat="1" ht="12.75">
      <c r="A20" s="33" t="e">
        <f>'База  распред адм и общехоз  '!B16</f>
        <v>#REF!</v>
      </c>
      <c r="C20" s="35" t="e">
        <f>'База  распред адм и общехоз  '!D16</f>
        <v>#REF!</v>
      </c>
      <c r="D20" s="4"/>
      <c r="E20" s="4"/>
      <c r="F20" s="4"/>
      <c r="G20" s="36"/>
      <c r="I20" s="35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90" zoomScaleSheetLayoutView="90" workbookViewId="0" topLeftCell="A5">
      <selection activeCell="H17" sqref="H17"/>
    </sheetView>
  </sheetViews>
  <sheetFormatPr defaultColWidth="9.00390625" defaultRowHeight="12.75"/>
  <cols>
    <col min="2" max="2" width="35.375" style="0" customWidth="1"/>
    <col min="3" max="3" width="14.875" style="0" customWidth="1"/>
    <col min="4" max="4" width="27.00390625" style="0" customWidth="1"/>
    <col min="5" max="5" width="11.50390625" style="0" customWidth="1"/>
    <col min="8" max="8" width="11.125" style="0" customWidth="1"/>
    <col min="9" max="10" width="10.375" style="0" customWidth="1"/>
  </cols>
  <sheetData>
    <row r="1" spans="1:8" ht="18" customHeight="1">
      <c r="A1" s="2" t="s">
        <v>517</v>
      </c>
      <c r="B1" s="2"/>
      <c r="C1" s="2"/>
      <c r="D1" s="2"/>
      <c r="F1" s="171"/>
      <c r="H1" s="171"/>
    </row>
    <row r="2" spans="1:8" ht="18" customHeight="1">
      <c r="A2" s="43" t="s">
        <v>78</v>
      </c>
      <c r="B2" s="43"/>
      <c r="C2" s="43"/>
      <c r="D2" s="391">
        <f>'Водный налог'!C2</f>
        <v>0</v>
      </c>
      <c r="E2" s="172"/>
      <c r="F2" s="171"/>
      <c r="G2" s="391"/>
      <c r="H2" s="171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5" ht="31.5" customHeight="1">
      <c r="A4" s="128" t="s">
        <v>288</v>
      </c>
      <c r="B4" s="175" t="s">
        <v>140</v>
      </c>
      <c r="C4" s="128" t="s">
        <v>344</v>
      </c>
      <c r="D4" s="128" t="s">
        <v>142</v>
      </c>
      <c r="E4" s="5" t="s">
        <v>4</v>
      </c>
    </row>
    <row r="5" spans="1:5" ht="12.75" customHeight="1">
      <c r="A5" s="128"/>
      <c r="B5" s="128"/>
      <c r="C5" s="128"/>
      <c r="D5" s="128"/>
      <c r="E5" s="5"/>
    </row>
    <row r="6" spans="1:5" ht="12.75">
      <c r="A6" s="175">
        <v>1</v>
      </c>
      <c r="B6" s="175">
        <v>2</v>
      </c>
      <c r="C6" s="175">
        <v>3</v>
      </c>
      <c r="D6" s="175">
        <v>4</v>
      </c>
      <c r="E6" s="204"/>
    </row>
    <row r="7" spans="1:5" ht="12.75">
      <c r="A7" s="175"/>
      <c r="B7" s="406" t="s">
        <v>518</v>
      </c>
      <c r="C7" s="175"/>
      <c r="D7" s="178"/>
      <c r="E7" s="204"/>
    </row>
    <row r="8" spans="1:5" ht="12.75">
      <c r="A8" s="176">
        <v>1</v>
      </c>
      <c r="B8" s="186" t="s">
        <v>519</v>
      </c>
      <c r="C8" s="176" t="s">
        <v>520</v>
      </c>
      <c r="D8" s="163">
        <f>D9+D10</f>
        <v>22.8695</v>
      </c>
      <c r="E8" s="163">
        <f>E9+E10</f>
        <v>22.8695</v>
      </c>
    </row>
    <row r="9" spans="1:5" ht="15" customHeight="1">
      <c r="A9" s="227" t="s">
        <v>11</v>
      </c>
      <c r="B9" s="180" t="s">
        <v>521</v>
      </c>
      <c r="C9" s="175" t="s">
        <v>520</v>
      </c>
      <c r="D9" s="156">
        <f>'Расчет потребн. ЭЭ'!H10/1000</f>
        <v>22.8695</v>
      </c>
      <c r="E9" s="156">
        <f>D9</f>
        <v>22.8695</v>
      </c>
    </row>
    <row r="10" spans="1:5" ht="12.75">
      <c r="A10" s="227" t="s">
        <v>20</v>
      </c>
      <c r="B10" s="180" t="s">
        <v>522</v>
      </c>
      <c r="C10" s="175" t="s">
        <v>520</v>
      </c>
      <c r="D10" s="156"/>
      <c r="E10" s="156"/>
    </row>
    <row r="11" spans="1:5" ht="12.75">
      <c r="A11" s="176">
        <v>2</v>
      </c>
      <c r="B11" s="231" t="s">
        <v>523</v>
      </c>
      <c r="C11" s="176"/>
      <c r="D11" s="199"/>
      <c r="E11" s="199"/>
    </row>
    <row r="12" spans="1:5" ht="12.75">
      <c r="A12" s="227" t="s">
        <v>27</v>
      </c>
      <c r="B12" s="180" t="s">
        <v>521</v>
      </c>
      <c r="C12" s="175" t="s">
        <v>524</v>
      </c>
      <c r="D12" s="407">
        <v>8.54673</v>
      </c>
      <c r="E12" s="407">
        <v>8.48467</v>
      </c>
    </row>
    <row r="13" spans="1:6" ht="12.75">
      <c r="A13" s="227" t="s">
        <v>35</v>
      </c>
      <c r="B13" s="180" t="s">
        <v>522</v>
      </c>
      <c r="C13" s="175" t="s">
        <v>524</v>
      </c>
      <c r="D13" s="408"/>
      <c r="E13" s="408"/>
      <c r="F13" s="409"/>
    </row>
    <row r="14" spans="1:5" ht="26.25" customHeight="1">
      <c r="A14" s="227" t="s">
        <v>37</v>
      </c>
      <c r="B14" s="203" t="s">
        <v>525</v>
      </c>
      <c r="C14" s="175" t="s">
        <v>524</v>
      </c>
      <c r="D14" s="156">
        <f>D15/D8</f>
        <v>8.54675441089661</v>
      </c>
      <c r="E14" s="156">
        <f>E15/E8</f>
        <v>8.484662979076937</v>
      </c>
    </row>
    <row r="15" spans="1:5" ht="30.75" customHeight="1">
      <c r="A15" s="176">
        <v>3</v>
      </c>
      <c r="B15" s="184" t="s">
        <v>526</v>
      </c>
      <c r="C15" s="176" t="s">
        <v>148</v>
      </c>
      <c r="D15" s="163">
        <f>D16+D17</f>
        <v>195.46</v>
      </c>
      <c r="E15" s="163">
        <f>E16+E17</f>
        <v>194.04</v>
      </c>
    </row>
    <row r="16" spans="1:5" ht="12.75">
      <c r="A16" s="227" t="s">
        <v>43</v>
      </c>
      <c r="B16" s="180" t="s">
        <v>521</v>
      </c>
      <c r="C16" s="175" t="s">
        <v>148</v>
      </c>
      <c r="D16" s="156">
        <f>ROUND(D9*D12,2)</f>
        <v>195.46</v>
      </c>
      <c r="E16" s="156">
        <f>ROUND(E9*E12,2)</f>
        <v>194.04</v>
      </c>
    </row>
    <row r="17" spans="1:5" ht="12.75">
      <c r="A17" s="227" t="s">
        <v>49</v>
      </c>
      <c r="B17" s="180" t="s">
        <v>522</v>
      </c>
      <c r="C17" s="175" t="s">
        <v>148</v>
      </c>
      <c r="D17" s="156"/>
      <c r="E17" s="156"/>
    </row>
    <row r="18" spans="1:5" ht="15" customHeight="1">
      <c r="A18" s="175"/>
      <c r="B18" s="410"/>
      <c r="C18" s="175"/>
      <c r="D18" s="178"/>
      <c r="E18" s="178"/>
    </row>
    <row r="19" spans="1:5" ht="15" customHeight="1">
      <c r="A19" s="175"/>
      <c r="B19" s="410"/>
      <c r="C19" s="175"/>
      <c r="D19" s="178"/>
      <c r="E19" s="178"/>
    </row>
    <row r="20" spans="1:5" s="134" customFormat="1" ht="15" customHeight="1">
      <c r="A20" s="176">
        <v>5</v>
      </c>
      <c r="B20" s="184" t="s">
        <v>527</v>
      </c>
      <c r="C20" s="176" t="s">
        <v>148</v>
      </c>
      <c r="D20" s="163">
        <f>D15</f>
        <v>195.46</v>
      </c>
      <c r="E20" s="163">
        <f>E15</f>
        <v>194.04</v>
      </c>
    </row>
    <row r="21" ht="12.75">
      <c r="E21" s="134"/>
    </row>
    <row r="22" ht="48" customHeight="1"/>
    <row r="23" spans="1:9" s="34" customFormat="1" ht="12.75">
      <c r="A23" s="33"/>
      <c r="B23" s="33" t="e">
        <f>'Водный налог'!A20</f>
        <v>#REF!</v>
      </c>
      <c r="D23" s="35" t="e">
        <f>'Водный налог'!C20</f>
        <v>#REF!</v>
      </c>
      <c r="F23" s="35"/>
      <c r="G23" s="36"/>
      <c r="I23" s="35"/>
    </row>
  </sheetData>
  <sheetProtection selectLockedCells="1" selectUnlockedCells="1"/>
  <mergeCells count="7">
    <mergeCell ref="A1:D1"/>
    <mergeCell ref="A2:C2"/>
    <mergeCell ref="A4:A5"/>
    <mergeCell ref="B4:B5"/>
    <mergeCell ref="C4:C5"/>
    <mergeCell ref="D4:D5"/>
    <mergeCell ref="E4:E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33.125" style="40" customWidth="1"/>
    <col min="2" max="2" width="12.375" style="40" customWidth="1"/>
    <col min="3" max="3" width="10.50390625" style="40" customWidth="1"/>
    <col min="4" max="4" width="11.50390625" style="411" customWidth="1"/>
    <col min="5" max="5" width="11.125" style="40" customWidth="1"/>
    <col min="6" max="6" width="11.875" style="40" customWidth="1"/>
    <col min="7" max="7" width="9.875" style="412" customWidth="1"/>
    <col min="8" max="8" width="10.50390625" style="413" customWidth="1"/>
    <col min="9" max="9" width="10.50390625" style="411" customWidth="1"/>
    <col min="10" max="10" width="10.125" style="413" customWidth="1"/>
    <col min="11" max="16384" width="9.125" style="40" customWidth="1"/>
  </cols>
  <sheetData>
    <row r="1" spans="1:256" ht="12.75" customHeight="1">
      <c r="A1" s="414" t="s">
        <v>528</v>
      </c>
      <c r="B1" s="414"/>
      <c r="C1" s="414"/>
      <c r="D1" s="414"/>
      <c r="E1" s="414"/>
      <c r="F1" s="414"/>
      <c r="G1" s="414"/>
      <c r="H1" s="414"/>
      <c r="I1" s="414"/>
      <c r="J1" s="41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3" t="s">
        <v>78</v>
      </c>
      <c r="B2" s="43"/>
      <c r="C2" s="43"/>
      <c r="D2" s="43"/>
      <c r="E2" s="415">
        <f>ЭЭ!D2</f>
        <v>0</v>
      </c>
      <c r="F2" s="416"/>
      <c r="G2" s="416"/>
      <c r="H2" s="416"/>
      <c r="I2" s="416"/>
      <c r="J2" s="41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417"/>
      <c r="B3" s="417"/>
      <c r="C3" s="417"/>
      <c r="D3" s="417"/>
      <c r="E3" s="417"/>
      <c r="F3" s="417"/>
      <c r="G3" s="417"/>
      <c r="H3" s="417"/>
      <c r="I3" s="417"/>
      <c r="J3" s="4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ht="12.75">
      <c r="A4" s="418" t="s">
        <v>529</v>
      </c>
      <c r="B4" s="418"/>
      <c r="C4" s="419"/>
      <c r="D4" s="420"/>
      <c r="E4" s="419"/>
      <c r="F4" s="419"/>
      <c r="G4" s="421"/>
      <c r="H4" s="422"/>
      <c r="I4" s="420"/>
      <c r="J4" s="422"/>
    </row>
    <row r="5" spans="1:256" ht="12.75">
      <c r="A5" s="5" t="s">
        <v>530</v>
      </c>
      <c r="B5" s="5" t="s">
        <v>531</v>
      </c>
      <c r="C5" s="5" t="s">
        <v>532</v>
      </c>
      <c r="D5" s="5" t="s">
        <v>533</v>
      </c>
      <c r="E5" s="5" t="s">
        <v>534</v>
      </c>
      <c r="F5" s="5" t="s">
        <v>535</v>
      </c>
      <c r="G5" s="423" t="s">
        <v>536</v>
      </c>
      <c r="H5" s="300" t="s">
        <v>537</v>
      </c>
      <c r="I5" s="5" t="s">
        <v>538</v>
      </c>
      <c r="J5" s="300" t="s">
        <v>539</v>
      </c>
      <c r="K5" s="5" t="s">
        <v>540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24"/>
      <c r="B6" s="425"/>
      <c r="C6" s="5"/>
      <c r="D6" s="5"/>
      <c r="E6" s="5"/>
      <c r="F6" s="5"/>
      <c r="G6" s="423"/>
      <c r="H6" s="300"/>
      <c r="I6" s="5"/>
      <c r="J6" s="300"/>
      <c r="K6" s="5"/>
      <c r="L6" s="426"/>
      <c r="M6" s="42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28" t="s">
        <v>541</v>
      </c>
      <c r="B7" s="428"/>
      <c r="C7" s="423"/>
      <c r="D7" s="423"/>
      <c r="E7" s="423"/>
      <c r="F7" s="423"/>
      <c r="G7" s="423"/>
      <c r="H7" s="423"/>
      <c r="I7" s="423"/>
      <c r="J7" s="423"/>
      <c r="K7" s="4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29" t="s">
        <v>542</v>
      </c>
      <c r="B8" s="430" t="s">
        <v>543</v>
      </c>
      <c r="C8" s="431" t="s">
        <v>544</v>
      </c>
      <c r="D8" s="431" t="s">
        <v>545</v>
      </c>
      <c r="E8" s="432">
        <v>5.5</v>
      </c>
      <c r="F8" s="433">
        <v>10</v>
      </c>
      <c r="G8" s="434">
        <v>3749</v>
      </c>
      <c r="H8" s="434">
        <f>E8*G8</f>
        <v>20619.5</v>
      </c>
      <c r="I8" s="431">
        <v>1</v>
      </c>
      <c r="J8" s="434">
        <f>F8*G8</f>
        <v>37490</v>
      </c>
      <c r="K8" s="435">
        <f>H8/J8</f>
        <v>0.55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429" t="s">
        <v>546</v>
      </c>
      <c r="B9" s="430" t="s">
        <v>547</v>
      </c>
      <c r="C9" s="431" t="s">
        <v>544</v>
      </c>
      <c r="D9" s="431" t="s">
        <v>548</v>
      </c>
      <c r="E9" s="432">
        <v>4.5</v>
      </c>
      <c r="F9" s="432">
        <v>6.3</v>
      </c>
      <c r="G9" s="434">
        <v>500</v>
      </c>
      <c r="H9" s="434">
        <f>E9*G9</f>
        <v>2250</v>
      </c>
      <c r="I9" s="431">
        <v>1</v>
      </c>
      <c r="J9" s="434">
        <f>G9*F9</f>
        <v>3150</v>
      </c>
      <c r="K9" s="435">
        <f>H9/J9</f>
        <v>0.7142857142857143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0" t="s">
        <v>95</v>
      </c>
      <c r="B10" s="30"/>
      <c r="C10" s="436" t="s">
        <v>549</v>
      </c>
      <c r="D10" s="436" t="s">
        <v>549</v>
      </c>
      <c r="E10" s="436" t="s">
        <v>549</v>
      </c>
      <c r="F10" s="436" t="s">
        <v>549</v>
      </c>
      <c r="G10" s="436" t="s">
        <v>549</v>
      </c>
      <c r="H10" s="437">
        <f>SUM(H8:H9)</f>
        <v>22869.5</v>
      </c>
      <c r="I10" s="436" t="s">
        <v>549</v>
      </c>
      <c r="J10" s="437">
        <f>J8+J9</f>
        <v>40640</v>
      </c>
      <c r="K10" s="438">
        <f>H10/J10</f>
        <v>0.5627337598425197</v>
      </c>
      <c r="L10" s="222">
        <f>'Баланс ВС'!J8</f>
        <v>40.64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39"/>
      <c r="B11" s="439"/>
      <c r="C11" s="5" t="s">
        <v>549</v>
      </c>
      <c r="D11" s="5" t="s">
        <v>549</v>
      </c>
      <c r="E11" s="5" t="s">
        <v>549</v>
      </c>
      <c r="F11" s="5" t="s">
        <v>549</v>
      </c>
      <c r="G11" s="5" t="s">
        <v>549</v>
      </c>
      <c r="H11" s="440"/>
      <c r="I11" s="5" t="s">
        <v>549</v>
      </c>
      <c r="J11" s="5" t="s">
        <v>549</v>
      </c>
      <c r="K11" s="5" t="s">
        <v>549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41"/>
      <c r="B12" s="441"/>
      <c r="C12" s="426"/>
      <c r="D12" s="426"/>
      <c r="E12" s="426"/>
      <c r="F12" s="426"/>
      <c r="G12" s="426"/>
      <c r="H12" s="442"/>
      <c r="I12" s="426"/>
      <c r="J12" s="426"/>
      <c r="K12" s="4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0" ht="12.75">
      <c r="A13" s="443"/>
      <c r="B13" s="443"/>
      <c r="C13" s="443"/>
      <c r="D13" s="444"/>
      <c r="E13" s="443"/>
      <c r="F13" s="443"/>
      <c r="G13" s="445"/>
      <c r="H13" s="446"/>
      <c r="I13" s="444"/>
      <c r="J13" s="446"/>
    </row>
    <row r="14" spans="1:10" ht="12.75">
      <c r="A14" s="443"/>
      <c r="B14" s="443"/>
      <c r="C14" s="443"/>
      <c r="D14" s="444"/>
      <c r="E14" s="443"/>
      <c r="F14" s="443"/>
      <c r="G14" s="445"/>
      <c r="H14" s="446"/>
      <c r="I14" s="444"/>
      <c r="J14" s="446"/>
    </row>
    <row r="15" spans="1:11" ht="12.75">
      <c r="A15" s="447" t="e">
        <f>ЭЭ!B23</f>
        <v>#REF!</v>
      </c>
      <c r="B15" s="447"/>
      <c r="C15" s="447"/>
      <c r="D15" s="448"/>
      <c r="E15" s="447" t="e">
        <f>ЭЭ!D23</f>
        <v>#REF!</v>
      </c>
      <c r="F15" s="447"/>
      <c r="G15" s="449"/>
      <c r="H15" s="450"/>
      <c r="I15" s="448"/>
      <c r="J15" s="450"/>
      <c r="K15" s="67"/>
    </row>
    <row r="16" spans="1:11" s="67" customFormat="1" ht="12.75">
      <c r="A16" s="443"/>
      <c r="B16" s="443"/>
      <c r="C16" s="443"/>
      <c r="D16" s="444"/>
      <c r="E16" s="443"/>
      <c r="F16" s="443"/>
      <c r="G16" s="445"/>
      <c r="H16" s="446"/>
      <c r="I16" s="444"/>
      <c r="J16" s="446"/>
      <c r="K16" s="40"/>
    </row>
    <row r="17" spans="1:10" ht="12.75">
      <c r="A17" s="443"/>
      <c r="B17" s="443"/>
      <c r="C17" s="443"/>
      <c r="D17" s="444"/>
      <c r="E17" s="443"/>
      <c r="F17" s="443"/>
      <c r="G17" s="445"/>
      <c r="H17" s="446"/>
      <c r="I17" s="444"/>
      <c r="J17" s="446"/>
    </row>
    <row r="18" spans="1:10" ht="12.75">
      <c r="A18" s="443"/>
      <c r="B18" s="443"/>
      <c r="C18" s="443"/>
      <c r="D18" s="444"/>
      <c r="E18" s="443"/>
      <c r="F18" s="443"/>
      <c r="G18" s="445"/>
      <c r="H18" s="446"/>
      <c r="I18" s="444"/>
      <c r="J18" s="446"/>
    </row>
    <row r="19" spans="1:10" ht="12.75">
      <c r="A19" s="443"/>
      <c r="B19" s="443"/>
      <c r="C19" s="443"/>
      <c r="D19" s="444"/>
      <c r="E19" s="443"/>
      <c r="F19" s="443"/>
      <c r="G19" s="445"/>
      <c r="H19" s="446"/>
      <c r="I19" s="444"/>
      <c r="J19" s="446"/>
    </row>
    <row r="20" spans="1:10" ht="12.75">
      <c r="A20" s="443"/>
      <c r="B20" s="443"/>
      <c r="C20" s="443"/>
      <c r="D20" s="444"/>
      <c r="E20" s="443"/>
      <c r="F20" s="443"/>
      <c r="G20" s="445"/>
      <c r="H20" s="446"/>
      <c r="J20" s="446"/>
    </row>
    <row r="21" spans="1:10" ht="12.75">
      <c r="A21" s="443"/>
      <c r="B21" s="443"/>
      <c r="C21" s="443"/>
      <c r="D21" s="444"/>
      <c r="E21" s="443"/>
      <c r="F21" s="443"/>
      <c r="G21" s="445"/>
      <c r="H21" s="446"/>
      <c r="J21" s="446"/>
    </row>
    <row r="22" spans="1:10" ht="12.75">
      <c r="A22" s="443"/>
      <c r="B22" s="443"/>
      <c r="C22" s="443"/>
      <c r="D22" s="444"/>
      <c r="E22" s="443"/>
      <c r="F22" s="443"/>
      <c r="G22" s="445"/>
      <c r="H22" s="446"/>
      <c r="J22" s="446"/>
    </row>
    <row r="23" spans="1:10" ht="12.75">
      <c r="A23" s="443"/>
      <c r="B23" s="443"/>
      <c r="C23" s="443"/>
      <c r="D23" s="444"/>
      <c r="E23" s="443"/>
      <c r="F23" s="443"/>
      <c r="G23" s="445"/>
      <c r="H23" s="446"/>
      <c r="J23" s="446"/>
    </row>
    <row r="24" spans="1:10" ht="12.75">
      <c r="A24" s="443"/>
      <c r="B24" s="443"/>
      <c r="C24" s="443"/>
      <c r="D24" s="444"/>
      <c r="E24" s="443"/>
      <c r="F24" s="443"/>
      <c r="G24" s="445"/>
      <c r="H24" s="446"/>
      <c r="J24" s="446"/>
    </row>
    <row r="25" spans="1:10" ht="12.75">
      <c r="A25" s="443"/>
      <c r="B25" s="443"/>
      <c r="C25" s="443"/>
      <c r="D25" s="444"/>
      <c r="E25" s="443"/>
      <c r="F25" s="443"/>
      <c r="G25" s="445"/>
      <c r="H25" s="446"/>
      <c r="J25" s="446"/>
    </row>
    <row r="26" spans="1:10" ht="12.75">
      <c r="A26" s="443"/>
      <c r="B26" s="443"/>
      <c r="C26" s="443"/>
      <c r="D26" s="444"/>
      <c r="E26" s="443"/>
      <c r="F26" s="443"/>
      <c r="G26" s="445"/>
      <c r="H26" s="446"/>
      <c r="J26" s="446"/>
    </row>
    <row r="27" spans="1:10" ht="12.75">
      <c r="A27" s="443"/>
      <c r="B27" s="443"/>
      <c r="C27" s="443"/>
      <c r="D27" s="444"/>
      <c r="E27" s="443"/>
      <c r="F27" s="443"/>
      <c r="G27" s="445"/>
      <c r="H27" s="446"/>
      <c r="J27" s="446"/>
    </row>
    <row r="28" spans="1:10" ht="12.75">
      <c r="A28" s="443"/>
      <c r="B28" s="443"/>
      <c r="C28" s="443"/>
      <c r="D28" s="444"/>
      <c r="E28" s="443"/>
      <c r="F28" s="443"/>
      <c r="G28" s="445"/>
      <c r="H28" s="446"/>
      <c r="J28" s="446"/>
    </row>
    <row r="29" spans="1:10" ht="12.75">
      <c r="A29" s="443"/>
      <c r="B29" s="443"/>
      <c r="C29" s="443"/>
      <c r="D29" s="444"/>
      <c r="E29" s="443"/>
      <c r="F29" s="443"/>
      <c r="G29" s="445"/>
      <c r="H29" s="446"/>
      <c r="J29" s="446"/>
    </row>
  </sheetData>
  <sheetProtection selectLockedCells="1" selectUnlockedCells="1"/>
  <mergeCells count="3">
    <mergeCell ref="A1:J1"/>
    <mergeCell ref="A2:D2"/>
    <mergeCell ref="A7:B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G21"/>
  <sheetViews>
    <sheetView view="pageBreakPreview" zoomScale="70" zoomScaleNormal="80" zoomScaleSheetLayoutView="70" workbookViewId="0" topLeftCell="A1">
      <pane xSplit="3" ySplit="8" topLeftCell="AG9" activePane="bottomRight" state="frozen"/>
      <selection pane="topLeft" activeCell="A1" sqref="A1"/>
      <selection pane="topRight" activeCell="AG1" sqref="AG1"/>
      <selection pane="bottomLeft" activeCell="A9" sqref="A9"/>
      <selection pane="bottomRight" activeCell="F30" sqref="F30"/>
    </sheetView>
  </sheetViews>
  <sheetFormatPr defaultColWidth="9.00390625" defaultRowHeight="12.75"/>
  <cols>
    <col min="1" max="1" width="29.125" style="0" customWidth="1"/>
    <col min="2" max="2" width="21.375" style="0" customWidth="1"/>
    <col min="3" max="3" width="11.625" style="451" customWidth="1"/>
    <col min="4" max="38" width="11.50390625" style="0" customWidth="1"/>
    <col min="39" max="39" width="11.50390625" style="452" customWidth="1"/>
    <col min="40" max="42" width="11.50390625" style="0" customWidth="1"/>
    <col min="43" max="43" width="12.625" style="0" customWidth="1"/>
    <col min="44" max="45" width="11.00390625" style="0" customWidth="1"/>
    <col min="46" max="46" width="12.00390625" style="0" customWidth="1"/>
    <col min="47" max="47" width="10.875" style="0" customWidth="1"/>
    <col min="48" max="48" width="11.625" style="0" customWidth="1"/>
    <col min="49" max="49" width="13.50390625" style="0" customWidth="1"/>
    <col min="50" max="50" width="11.375" style="0" customWidth="1"/>
    <col min="51" max="51" width="12.00390625" style="0" customWidth="1"/>
    <col min="52" max="52" width="12.625" style="0" customWidth="1"/>
    <col min="53" max="54" width="12.375" style="0" customWidth="1"/>
    <col min="55" max="55" width="15.125" style="0" customWidth="1"/>
  </cols>
  <sheetData>
    <row r="2" spans="1:39" ht="42" customHeight="1">
      <c r="A2" s="453" t="s">
        <v>550</v>
      </c>
      <c r="B2" s="453"/>
      <c r="C2" s="453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5"/>
      <c r="AL2" s="455"/>
      <c r="AM2"/>
    </row>
    <row r="3" spans="1:39" ht="42" customHeight="1">
      <c r="A3" s="456" t="e">
        <f>#REF!</f>
        <v>#REF!</v>
      </c>
      <c r="B3" s="456"/>
      <c r="C3" s="456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5"/>
      <c r="AL3" s="455"/>
      <c r="AM3"/>
    </row>
    <row r="4" spans="1:39" ht="24.75" customHeight="1">
      <c r="A4" s="456" t="e">
        <f>#REF!</f>
        <v>#REF!</v>
      </c>
      <c r="B4" s="456"/>
      <c r="C4" s="456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5"/>
      <c r="AL4" s="455"/>
      <c r="AM4"/>
    </row>
    <row r="5" spans="1:52" ht="12.75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</row>
    <row r="6" spans="1:42" ht="12.75" customHeight="1">
      <c r="A6" s="457" t="s">
        <v>551</v>
      </c>
      <c r="B6" s="457"/>
      <c r="C6" s="457" t="s">
        <v>552</v>
      </c>
      <c r="D6" s="458" t="s">
        <v>553</v>
      </c>
      <c r="E6" s="458"/>
      <c r="F6" s="458"/>
      <c r="G6" s="459" t="s">
        <v>554</v>
      </c>
      <c r="H6" s="459"/>
      <c r="I6" s="459"/>
      <c r="J6" s="459" t="s">
        <v>555</v>
      </c>
      <c r="K6" s="459"/>
      <c r="L6" s="459"/>
      <c r="M6" s="459" t="s">
        <v>556</v>
      </c>
      <c r="N6" s="459"/>
      <c r="O6" s="459"/>
      <c r="P6" s="459" t="s">
        <v>557</v>
      </c>
      <c r="Q6" s="459"/>
      <c r="R6" s="459"/>
      <c r="S6" s="459" t="s">
        <v>558</v>
      </c>
      <c r="T6" s="459"/>
      <c r="U6" s="459"/>
      <c r="V6" s="459" t="s">
        <v>559</v>
      </c>
      <c r="W6" s="459"/>
      <c r="X6" s="459"/>
      <c r="Y6" s="459" t="s">
        <v>560</v>
      </c>
      <c r="Z6" s="459"/>
      <c r="AA6" s="459"/>
      <c r="AB6" s="459" t="s">
        <v>561</v>
      </c>
      <c r="AC6" s="459"/>
      <c r="AD6" s="459"/>
      <c r="AE6" s="459" t="s">
        <v>562</v>
      </c>
      <c r="AF6" s="459"/>
      <c r="AG6" s="459"/>
      <c r="AH6" s="459" t="s">
        <v>563</v>
      </c>
      <c r="AI6" s="459"/>
      <c r="AJ6" s="459"/>
      <c r="AK6" s="460" t="s">
        <v>564</v>
      </c>
      <c r="AL6" s="460"/>
      <c r="AM6" s="460"/>
      <c r="AN6" s="432" t="s">
        <v>565</v>
      </c>
      <c r="AO6" s="432"/>
      <c r="AP6" s="432"/>
    </row>
    <row r="7" spans="1:42" ht="42.75" customHeight="1">
      <c r="A7" s="457"/>
      <c r="B7" s="457"/>
      <c r="C7" s="457"/>
      <c r="D7" s="461" t="s">
        <v>566</v>
      </c>
      <c r="E7" s="457" t="s">
        <v>567</v>
      </c>
      <c r="F7" s="457" t="s">
        <v>568</v>
      </c>
      <c r="G7" s="461" t="s">
        <v>566</v>
      </c>
      <c r="H7" s="457" t="s">
        <v>567</v>
      </c>
      <c r="I7" s="457" t="s">
        <v>568</v>
      </c>
      <c r="J7" s="461" t="s">
        <v>566</v>
      </c>
      <c r="K7" s="457" t="s">
        <v>567</v>
      </c>
      <c r="L7" s="457" t="s">
        <v>568</v>
      </c>
      <c r="M7" s="461" t="s">
        <v>566</v>
      </c>
      <c r="N7" s="457" t="s">
        <v>567</v>
      </c>
      <c r="O7" s="457" t="s">
        <v>568</v>
      </c>
      <c r="P7" s="461" t="s">
        <v>566</v>
      </c>
      <c r="Q7" s="457" t="s">
        <v>567</v>
      </c>
      <c r="R7" s="457" t="s">
        <v>568</v>
      </c>
      <c r="S7" s="461" t="s">
        <v>566</v>
      </c>
      <c r="T7" s="457" t="s">
        <v>567</v>
      </c>
      <c r="U7" s="457" t="s">
        <v>568</v>
      </c>
      <c r="V7" s="461" t="s">
        <v>566</v>
      </c>
      <c r="W7" s="457" t="s">
        <v>567</v>
      </c>
      <c r="X7" s="457" t="s">
        <v>568</v>
      </c>
      <c r="Y7" s="461" t="s">
        <v>566</v>
      </c>
      <c r="Z7" s="457" t="s">
        <v>567</v>
      </c>
      <c r="AA7" s="457" t="s">
        <v>568</v>
      </c>
      <c r="AB7" s="461" t="s">
        <v>566</v>
      </c>
      <c r="AC7" s="457" t="s">
        <v>567</v>
      </c>
      <c r="AD7" s="457" t="s">
        <v>568</v>
      </c>
      <c r="AE7" s="461" t="s">
        <v>566</v>
      </c>
      <c r="AF7" s="457" t="s">
        <v>567</v>
      </c>
      <c r="AG7" s="457" t="s">
        <v>568</v>
      </c>
      <c r="AH7" s="461" t="s">
        <v>566</v>
      </c>
      <c r="AI7" s="457" t="s">
        <v>567</v>
      </c>
      <c r="AJ7" s="457" t="s">
        <v>568</v>
      </c>
      <c r="AK7" s="461" t="s">
        <v>566</v>
      </c>
      <c r="AL7" s="457" t="s">
        <v>567</v>
      </c>
      <c r="AM7" s="457" t="s">
        <v>568</v>
      </c>
      <c r="AN7" s="461" t="s">
        <v>566</v>
      </c>
      <c r="AO7" s="457" t="s">
        <v>567</v>
      </c>
      <c r="AP7" s="457" t="s">
        <v>568</v>
      </c>
    </row>
    <row r="8" spans="1:42" ht="15" customHeight="1">
      <c r="A8" s="457"/>
      <c r="B8" s="457"/>
      <c r="C8" s="457"/>
      <c r="D8" s="461" t="s">
        <v>569</v>
      </c>
      <c r="E8" s="457" t="s">
        <v>570</v>
      </c>
      <c r="F8" s="457" t="s">
        <v>571</v>
      </c>
      <c r="G8" s="461" t="s">
        <v>569</v>
      </c>
      <c r="H8" s="457" t="s">
        <v>570</v>
      </c>
      <c r="I8" s="457" t="s">
        <v>148</v>
      </c>
      <c r="J8" s="461" t="s">
        <v>569</v>
      </c>
      <c r="K8" s="457" t="s">
        <v>570</v>
      </c>
      <c r="L8" s="457" t="s">
        <v>148</v>
      </c>
      <c r="M8" s="461" t="s">
        <v>569</v>
      </c>
      <c r="N8" s="457" t="s">
        <v>570</v>
      </c>
      <c r="O8" s="457" t="s">
        <v>148</v>
      </c>
      <c r="P8" s="461" t="s">
        <v>569</v>
      </c>
      <c r="Q8" s="457" t="s">
        <v>570</v>
      </c>
      <c r="R8" s="457" t="s">
        <v>148</v>
      </c>
      <c r="S8" s="461" t="s">
        <v>569</v>
      </c>
      <c r="T8" s="457" t="s">
        <v>570</v>
      </c>
      <c r="U8" s="457" t="s">
        <v>148</v>
      </c>
      <c r="V8" s="461" t="s">
        <v>569</v>
      </c>
      <c r="W8" s="457" t="s">
        <v>570</v>
      </c>
      <c r="X8" s="457" t="s">
        <v>148</v>
      </c>
      <c r="Y8" s="461" t="s">
        <v>569</v>
      </c>
      <c r="Z8" s="457" t="s">
        <v>570</v>
      </c>
      <c r="AA8" s="457" t="s">
        <v>148</v>
      </c>
      <c r="AB8" s="461" t="s">
        <v>569</v>
      </c>
      <c r="AC8" s="457" t="s">
        <v>570</v>
      </c>
      <c r="AD8" s="457" t="s">
        <v>148</v>
      </c>
      <c r="AE8" s="461" t="s">
        <v>569</v>
      </c>
      <c r="AF8" s="457" t="s">
        <v>570</v>
      </c>
      <c r="AG8" s="457" t="s">
        <v>148</v>
      </c>
      <c r="AH8" s="461" t="s">
        <v>569</v>
      </c>
      <c r="AI8" s="457" t="s">
        <v>570</v>
      </c>
      <c r="AJ8" s="457" t="s">
        <v>148</v>
      </c>
      <c r="AK8" s="461" t="s">
        <v>569</v>
      </c>
      <c r="AL8" s="457" t="s">
        <v>570</v>
      </c>
      <c r="AM8" s="457" t="s">
        <v>148</v>
      </c>
      <c r="AN8" s="461" t="s">
        <v>569</v>
      </c>
      <c r="AO8" s="457" t="s">
        <v>570</v>
      </c>
      <c r="AP8" s="457" t="s">
        <v>148</v>
      </c>
    </row>
    <row r="9" spans="1:42" ht="27.75" customHeight="1">
      <c r="A9" s="462" t="s">
        <v>572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4"/>
    </row>
    <row r="10" spans="1:42" ht="21.75" customHeight="1">
      <c r="A10" s="465" t="s">
        <v>573</v>
      </c>
      <c r="B10" s="465"/>
      <c r="C10" s="466" t="s">
        <v>574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8"/>
      <c r="AO10" s="467"/>
      <c r="AP10" s="469"/>
    </row>
    <row r="11" spans="1:42" ht="21.75" customHeight="1">
      <c r="A11" s="465"/>
      <c r="B11" s="465"/>
      <c r="C11" s="466" t="s">
        <v>544</v>
      </c>
      <c r="D11" s="467">
        <f>D12+D13</f>
        <v>4321</v>
      </c>
      <c r="E11" s="467"/>
      <c r="F11" s="467">
        <f aca="true" t="shared" si="0" ref="F11:AP11">F12+F13</f>
        <v>28081.6328256</v>
      </c>
      <c r="G11" s="467">
        <f t="shared" si="0"/>
        <v>4960</v>
      </c>
      <c r="H11" s="467"/>
      <c r="I11" s="467">
        <f t="shared" si="0"/>
        <v>31888.805215999997</v>
      </c>
      <c r="J11" s="467">
        <f t="shared" si="0"/>
        <v>5742</v>
      </c>
      <c r="K11" s="467"/>
      <c r="L11" s="467">
        <f t="shared" si="0"/>
        <v>37952.215250400004</v>
      </c>
      <c r="M11" s="467">
        <f t="shared" si="0"/>
        <v>1966</v>
      </c>
      <c r="N11" s="467"/>
      <c r="O11" s="467">
        <f t="shared" si="0"/>
        <v>12764.397338399998</v>
      </c>
      <c r="P11" s="467">
        <f t="shared" si="0"/>
        <v>3208</v>
      </c>
      <c r="Q11" s="467"/>
      <c r="R11" s="467">
        <f t="shared" si="0"/>
        <v>20121.50632</v>
      </c>
      <c r="S11" s="467">
        <f t="shared" si="0"/>
        <v>4121</v>
      </c>
      <c r="T11" s="467">
        <f t="shared" si="0"/>
        <v>12.543211199999998</v>
      </c>
      <c r="U11" s="467">
        <f t="shared" si="0"/>
        <v>25845.286677599994</v>
      </c>
      <c r="V11" s="467">
        <f t="shared" si="0"/>
        <v>2647</v>
      </c>
      <c r="W11" s="467">
        <f t="shared" si="0"/>
        <v>7.3045894</v>
      </c>
      <c r="X11" s="467">
        <f t="shared" si="0"/>
        <v>19335.2481418</v>
      </c>
      <c r="Y11" s="467">
        <f t="shared" si="0"/>
        <v>2433</v>
      </c>
      <c r="Z11" s="467"/>
      <c r="AA11" s="467">
        <f t="shared" si="0"/>
        <v>17415.12204</v>
      </c>
      <c r="AB11" s="467">
        <f t="shared" si="0"/>
        <v>4389</v>
      </c>
      <c r="AC11" s="467"/>
      <c r="AD11" s="467">
        <f t="shared" si="0"/>
        <v>32809.1434902</v>
      </c>
      <c r="AE11" s="467">
        <f t="shared" si="0"/>
        <v>2771</v>
      </c>
      <c r="AF11" s="467"/>
      <c r="AG11" s="467">
        <f t="shared" si="0"/>
        <v>21073.2089352</v>
      </c>
      <c r="AH11" s="467">
        <f t="shared" si="0"/>
        <v>1978</v>
      </c>
      <c r="AI11" s="467"/>
      <c r="AJ11" s="467">
        <f t="shared" si="0"/>
        <v>14899.881169199998</v>
      </c>
      <c r="AK11" s="467">
        <f t="shared" si="0"/>
        <v>3821</v>
      </c>
      <c r="AL11" s="467"/>
      <c r="AM11" s="467">
        <f t="shared" si="0"/>
        <v>28268.652878199995</v>
      </c>
      <c r="AN11" s="468">
        <f t="shared" si="0"/>
        <v>42357</v>
      </c>
      <c r="AO11" s="467">
        <f>AP11/AN11</f>
        <v>6.857310486639752</v>
      </c>
      <c r="AP11" s="469">
        <f t="shared" si="0"/>
        <v>290455.1002826</v>
      </c>
    </row>
    <row r="12" spans="1:43" ht="34.5" customHeight="1">
      <c r="A12" s="470" t="s">
        <v>575</v>
      </c>
      <c r="B12" s="471" t="s">
        <v>542</v>
      </c>
      <c r="C12" s="457" t="s">
        <v>544</v>
      </c>
      <c r="D12" s="472">
        <v>3799</v>
      </c>
      <c r="E12" s="472">
        <f>5.50752*1.18</f>
        <v>6.4988736000000005</v>
      </c>
      <c r="F12" s="472">
        <f>D12*E12</f>
        <v>24689.2208064</v>
      </c>
      <c r="G12" s="472">
        <v>4303</v>
      </c>
      <c r="H12" s="472">
        <f>5.44847*1.18</f>
        <v>6.4291946</v>
      </c>
      <c r="I12" s="472">
        <f>G12*H12</f>
        <v>27664.8243638</v>
      </c>
      <c r="J12" s="472">
        <v>5297</v>
      </c>
      <c r="K12" s="472">
        <f>5.60134*1.18</f>
        <v>6.6095812</v>
      </c>
      <c r="L12" s="472">
        <f>J12*K12</f>
        <v>35010.9516164</v>
      </c>
      <c r="M12" s="472">
        <v>1466</v>
      </c>
      <c r="N12" s="472">
        <f>5.50218*1.18</f>
        <v>6.492572399999999</v>
      </c>
      <c r="O12" s="472">
        <f>M12*N12</f>
        <v>9518.1111384</v>
      </c>
      <c r="P12" s="472">
        <v>2658</v>
      </c>
      <c r="Q12" s="472">
        <f>5.3155*1.18</f>
        <v>6.27229</v>
      </c>
      <c r="R12" s="472">
        <f>P12*Q12</f>
        <v>16671.74682</v>
      </c>
      <c r="S12" s="472">
        <v>2126</v>
      </c>
      <c r="T12" s="472">
        <f>5.31492*1.18</f>
        <v>6.271605599999999</v>
      </c>
      <c r="U12" s="472">
        <f>S12*T12</f>
        <v>13333.433505599998</v>
      </c>
      <c r="V12" s="472">
        <v>2647</v>
      </c>
      <c r="W12" s="472">
        <f>6.19033*1.18</f>
        <v>7.3045894</v>
      </c>
      <c r="X12" s="472">
        <f>V12*W12</f>
        <v>19335.2481418</v>
      </c>
      <c r="Y12" s="472">
        <v>2433</v>
      </c>
      <c r="Z12" s="472">
        <f>6.066*1.18</f>
        <v>7.15788</v>
      </c>
      <c r="AA12" s="472">
        <f>Y12*Z12</f>
        <v>17415.12204</v>
      </c>
      <c r="AB12" s="472">
        <v>2555</v>
      </c>
      <c r="AC12" s="472">
        <f>6.33501*1.18</f>
        <v>7.475311799999999</v>
      </c>
      <c r="AD12" s="472">
        <f>AB12*AC12</f>
        <v>19099.421648999996</v>
      </c>
      <c r="AE12" s="472">
        <v>2036</v>
      </c>
      <c r="AF12" s="472">
        <f>6.44484*1.18</f>
        <v>7.6049112</v>
      </c>
      <c r="AG12" s="472">
        <f>AE12*AF12</f>
        <v>15483.5992032</v>
      </c>
      <c r="AH12" s="472">
        <v>1524</v>
      </c>
      <c r="AI12" s="472">
        <f>6.38373*1.18</f>
        <v>7.532801399999999</v>
      </c>
      <c r="AJ12" s="472">
        <f>AH12*AI12</f>
        <v>11479.989333599999</v>
      </c>
      <c r="AK12" s="472">
        <v>3334</v>
      </c>
      <c r="AL12" s="472">
        <f>6.26969*1.18</f>
        <v>7.398234199999999</v>
      </c>
      <c r="AM12" s="472">
        <f>AK12*AL12</f>
        <v>24665.712822799997</v>
      </c>
      <c r="AN12" s="473">
        <f>D12+G12+J12+M12+P12+S12+V12+Y12+AB12+AE12+AH12+AK12</f>
        <v>34178</v>
      </c>
      <c r="AO12" s="472">
        <f>AP12/AN12</f>
        <v>6.857258512522676</v>
      </c>
      <c r="AP12" s="473">
        <f>F12+I12+L12+O12+R12+U12+X12+AA12+AD12+AG12+AJ12+AM12</f>
        <v>234367.381441</v>
      </c>
      <c r="AQ12" s="222"/>
    </row>
    <row r="13" spans="1:42" ht="21.75" customHeight="1">
      <c r="A13" s="470" t="s">
        <v>576</v>
      </c>
      <c r="B13" s="471" t="s">
        <v>546</v>
      </c>
      <c r="C13" s="457" t="s">
        <v>544</v>
      </c>
      <c r="D13" s="472">
        <v>522</v>
      </c>
      <c r="E13" s="472">
        <f>5.50752*1.18</f>
        <v>6.4988736000000005</v>
      </c>
      <c r="F13" s="472">
        <f>D13*E13</f>
        <v>3392.4120192</v>
      </c>
      <c r="G13" s="472">
        <v>657</v>
      </c>
      <c r="H13" s="472">
        <f>5.44847*1.18</f>
        <v>6.4291946</v>
      </c>
      <c r="I13" s="472">
        <f>G13*H13</f>
        <v>4223.980852199999</v>
      </c>
      <c r="J13" s="472">
        <v>445</v>
      </c>
      <c r="K13" s="472">
        <f>5.60134*1.18</f>
        <v>6.6095812</v>
      </c>
      <c r="L13" s="472">
        <f>J13*K13</f>
        <v>2941.263634</v>
      </c>
      <c r="M13" s="472">
        <v>500</v>
      </c>
      <c r="N13" s="472">
        <f>5.50218*1.18</f>
        <v>6.492572399999999</v>
      </c>
      <c r="O13" s="472">
        <f>M13*N13</f>
        <v>3246.2861999999996</v>
      </c>
      <c r="P13" s="472">
        <v>550</v>
      </c>
      <c r="Q13" s="472">
        <f>5.3155*1.18</f>
        <v>6.27229</v>
      </c>
      <c r="R13" s="472">
        <f>P13*Q13</f>
        <v>3449.7595</v>
      </c>
      <c r="S13" s="472">
        <v>1995</v>
      </c>
      <c r="T13" s="472">
        <f>5.31492*1.18</f>
        <v>6.271605599999999</v>
      </c>
      <c r="U13" s="472">
        <f>S13*T13</f>
        <v>12511.853171999997</v>
      </c>
      <c r="V13" s="472"/>
      <c r="W13" s="472"/>
      <c r="X13" s="472">
        <f>V13*W13</f>
        <v>0</v>
      </c>
      <c r="Y13" s="472"/>
      <c r="Z13" s="472"/>
      <c r="AA13" s="472">
        <f>Y13*Z13</f>
        <v>0</v>
      </c>
      <c r="AB13" s="472">
        <v>1834</v>
      </c>
      <c r="AC13" s="472">
        <f>6.33501*1.18</f>
        <v>7.475311799999999</v>
      </c>
      <c r="AD13" s="472">
        <f>AB13*AC13</f>
        <v>13709.721841199998</v>
      </c>
      <c r="AE13" s="472">
        <v>735</v>
      </c>
      <c r="AF13" s="472">
        <f>6.44484*1.18</f>
        <v>7.6049112</v>
      </c>
      <c r="AG13" s="472">
        <f>AE13*AF13</f>
        <v>5589.609732</v>
      </c>
      <c r="AH13" s="472">
        <v>454</v>
      </c>
      <c r="AI13" s="472">
        <f>6.38373*1.18</f>
        <v>7.532801399999999</v>
      </c>
      <c r="AJ13" s="472">
        <f>AH13*AI13</f>
        <v>3419.8918356</v>
      </c>
      <c r="AK13" s="472">
        <v>487</v>
      </c>
      <c r="AL13" s="472">
        <f>6.26969*1.18</f>
        <v>7.398234199999999</v>
      </c>
      <c r="AM13" s="472">
        <f>AK13*AL13</f>
        <v>3602.9400553999994</v>
      </c>
      <c r="AN13" s="473">
        <f>D13+G13+J13+M13+P13+S13+V13+Y13+AB13+AE13+AH13+AK13</f>
        <v>8179</v>
      </c>
      <c r="AO13" s="472">
        <f>AP13/AN13</f>
        <v>6.8575276735053174</v>
      </c>
      <c r="AP13" s="473">
        <f>F13+I13+L13+O13+R13+U13+X13+AA13+AD13+AG13+AJ13+AM13</f>
        <v>56087.71884159999</v>
      </c>
    </row>
    <row r="14" spans="1:42" ht="21.75" customHeight="1">
      <c r="A14" s="474" t="s">
        <v>577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</row>
    <row r="15" spans="1:42" ht="21.75" customHeight="1">
      <c r="A15" s="465" t="s">
        <v>573</v>
      </c>
      <c r="B15" s="465"/>
      <c r="C15" s="466" t="s">
        <v>574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8"/>
      <c r="AO15" s="467"/>
      <c r="AP15" s="469"/>
    </row>
    <row r="16" spans="1:42" ht="21.75" customHeight="1">
      <c r="A16" s="465"/>
      <c r="B16" s="465"/>
      <c r="C16" s="466" t="s">
        <v>544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8"/>
      <c r="AO16" s="467"/>
      <c r="AP16" s="469"/>
    </row>
    <row r="17" spans="1:42" ht="21.75" customHeight="1">
      <c r="A17" s="475" t="s">
        <v>578</v>
      </c>
      <c r="B17" s="475"/>
      <c r="C17" s="457"/>
      <c r="D17" s="476" t="s">
        <v>578</v>
      </c>
      <c r="E17" s="476"/>
      <c r="F17" s="476"/>
      <c r="G17" s="476" t="s">
        <v>578</v>
      </c>
      <c r="H17" s="476"/>
      <c r="I17" s="476"/>
      <c r="J17" s="476" t="s">
        <v>578</v>
      </c>
      <c r="K17" s="476"/>
      <c r="L17" s="476"/>
      <c r="M17" s="476" t="s">
        <v>578</v>
      </c>
      <c r="N17" s="476"/>
      <c r="O17" s="476"/>
      <c r="P17" s="476" t="s">
        <v>578</v>
      </c>
      <c r="Q17" s="476"/>
      <c r="R17" s="476"/>
      <c r="S17" s="476" t="s">
        <v>578</v>
      </c>
      <c r="T17" s="476"/>
      <c r="U17" s="476"/>
      <c r="V17" s="476" t="s">
        <v>578</v>
      </c>
      <c r="W17" s="476"/>
      <c r="X17" s="476"/>
      <c r="Y17" s="476" t="s">
        <v>578</v>
      </c>
      <c r="Z17" s="476"/>
      <c r="AA17" s="476"/>
      <c r="AB17" s="476" t="s">
        <v>578</v>
      </c>
      <c r="AC17" s="476"/>
      <c r="AD17" s="476"/>
      <c r="AE17" s="476" t="s">
        <v>578</v>
      </c>
      <c r="AF17" s="476"/>
      <c r="AG17" s="476"/>
      <c r="AH17" s="476" t="s">
        <v>578</v>
      </c>
      <c r="AI17" s="476"/>
      <c r="AJ17" s="476"/>
      <c r="AK17" s="476" t="s">
        <v>578</v>
      </c>
      <c r="AL17" s="476"/>
      <c r="AM17" s="476"/>
      <c r="AN17" s="476" t="s">
        <v>578</v>
      </c>
      <c r="AO17" s="476"/>
      <c r="AP17" s="476"/>
    </row>
    <row r="18" spans="1:42" ht="21.75" customHeight="1">
      <c r="A18" s="475"/>
      <c r="B18" s="475"/>
      <c r="C18" s="457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</row>
    <row r="19" ht="21.75" customHeight="1">
      <c r="B19" s="477"/>
    </row>
    <row r="21" spans="1:59" s="480" customFormat="1" ht="42" customHeight="1">
      <c r="A21" s="478" t="e">
        <f>#REF!</f>
        <v>#REF!</v>
      </c>
      <c r="B21" s="479"/>
      <c r="V21" s="481" t="e">
        <f>#REF!</f>
        <v>#REF!</v>
      </c>
      <c r="Y21" s="481"/>
      <c r="AN21" s="481" t="e">
        <f>#REF!</f>
        <v>#REF!</v>
      </c>
      <c r="AO21" s="481"/>
      <c r="AS21" s="482"/>
      <c r="BG21" s="481"/>
    </row>
  </sheetData>
  <sheetProtection selectLockedCells="1" selectUnlockedCells="1"/>
  <mergeCells count="35">
    <mergeCell ref="A2:C2"/>
    <mergeCell ref="A3:C3"/>
    <mergeCell ref="A4:C4"/>
    <mergeCell ref="A6:B8"/>
    <mergeCell ref="C6:C8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10:B11"/>
    <mergeCell ref="A14:AP14"/>
    <mergeCell ref="A15:B16"/>
    <mergeCell ref="A17:B18"/>
    <mergeCell ref="D17:F18"/>
    <mergeCell ref="G17:I18"/>
    <mergeCell ref="J17:L18"/>
    <mergeCell ref="M17:O18"/>
    <mergeCell ref="P17:R18"/>
    <mergeCell ref="S17:U18"/>
    <mergeCell ref="V17:X18"/>
    <mergeCell ref="Y17:AA18"/>
    <mergeCell ref="AB17:AD18"/>
    <mergeCell ref="AE17:AG18"/>
    <mergeCell ref="AH17:AJ18"/>
    <mergeCell ref="AK17:AM18"/>
    <mergeCell ref="AN17:AP1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landscape" paperSize="9" scale="4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Normal="90" zoomScaleSheetLayoutView="100" workbookViewId="0" topLeftCell="A1">
      <selection activeCell="M16" sqref="M16"/>
    </sheetView>
  </sheetViews>
  <sheetFormatPr defaultColWidth="9.00390625" defaultRowHeight="12.75"/>
  <cols>
    <col min="1" max="1" width="7.50390625" style="0" customWidth="1"/>
    <col min="2" max="2" width="21.125" style="0" customWidth="1"/>
    <col min="5" max="5" width="10.50390625" style="0" customWidth="1"/>
    <col min="8" max="8" width="10.50390625" style="0" customWidth="1"/>
    <col min="9" max="9" width="14.00390625" style="0" customWidth="1"/>
    <col min="10" max="10" width="10.875" style="0" customWidth="1"/>
    <col min="11" max="11" width="11.375" style="0" customWidth="1"/>
    <col min="12" max="12" width="11.125" style="0" customWidth="1"/>
    <col min="13" max="13" width="11.50390625" style="0" customWidth="1"/>
  </cols>
  <sheetData>
    <row r="1" spans="1:13" ht="55.5" customHeight="1">
      <c r="A1" s="483" t="s">
        <v>579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2:13" ht="20.25" customHeight="1">
      <c r="B2" s="484">
        <f>ЭЭ!D2</f>
        <v>0</v>
      </c>
      <c r="C2" s="484"/>
      <c r="D2" s="484"/>
      <c r="E2" s="484"/>
      <c r="F2" s="484"/>
      <c r="G2" s="485"/>
      <c r="H2" s="486" t="s">
        <v>580</v>
      </c>
      <c r="I2" s="486"/>
      <c r="J2" s="485"/>
      <c r="K2" s="485"/>
      <c r="L2" s="485"/>
      <c r="M2" s="485"/>
    </row>
    <row r="3" spans="1:13" ht="12.75">
      <c r="A3" s="38"/>
      <c r="B3" s="171"/>
      <c r="C3" s="127"/>
      <c r="D3" s="171"/>
      <c r="E3" s="171"/>
      <c r="F3" s="171"/>
      <c r="G3" s="171"/>
      <c r="H3" s="171"/>
      <c r="I3" s="127"/>
      <c r="J3" s="4"/>
      <c r="K3" s="4"/>
      <c r="L3" s="4"/>
      <c r="M3" s="4"/>
    </row>
    <row r="4" spans="1:13" ht="13.5" customHeight="1">
      <c r="A4" s="128" t="s">
        <v>2</v>
      </c>
      <c r="B4" s="128" t="s">
        <v>581</v>
      </c>
      <c r="C4" s="175" t="s">
        <v>323</v>
      </c>
      <c r="D4" s="128" t="s">
        <v>582</v>
      </c>
      <c r="E4" s="175" t="s">
        <v>583</v>
      </c>
      <c r="F4" s="175"/>
      <c r="G4" s="175"/>
      <c r="H4" s="175"/>
      <c r="I4" s="175"/>
      <c r="J4" s="128" t="s">
        <v>584</v>
      </c>
      <c r="K4" s="175" t="s">
        <v>585</v>
      </c>
      <c r="L4" s="175"/>
      <c r="M4" s="175"/>
    </row>
    <row r="5" spans="1:13" ht="12.75" customHeight="1">
      <c r="A5" s="128"/>
      <c r="B5" s="128"/>
      <c r="C5" s="175"/>
      <c r="D5" s="128"/>
      <c r="E5" s="175" t="s">
        <v>586</v>
      </c>
      <c r="F5" s="175"/>
      <c r="G5" s="175"/>
      <c r="H5" s="175" t="s">
        <v>587</v>
      </c>
      <c r="I5" s="175"/>
      <c r="J5" s="128"/>
      <c r="K5" s="190" t="s">
        <v>588</v>
      </c>
      <c r="L5" s="190" t="s">
        <v>589</v>
      </c>
      <c r="M5" s="190" t="s">
        <v>590</v>
      </c>
    </row>
    <row r="6" spans="1:13" ht="12.75">
      <c r="A6" s="128"/>
      <c r="B6" s="128"/>
      <c r="C6" s="175"/>
      <c r="D6" s="128"/>
      <c r="E6" s="128" t="s">
        <v>591</v>
      </c>
      <c r="F6" s="128" t="s">
        <v>592</v>
      </c>
      <c r="G6" s="128" t="s">
        <v>593</v>
      </c>
      <c r="H6" s="128" t="s">
        <v>591</v>
      </c>
      <c r="I6" s="128" t="s">
        <v>594</v>
      </c>
      <c r="J6" s="128"/>
      <c r="K6" s="190"/>
      <c r="L6" s="190"/>
      <c r="M6" s="190"/>
    </row>
    <row r="7" spans="1:13" ht="12.75" customHeight="1">
      <c r="A7" s="487" t="s">
        <v>142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</row>
    <row r="8" spans="1:13" ht="12.75" customHeight="1">
      <c r="A8" s="488">
        <v>1</v>
      </c>
      <c r="B8" s="488" t="s">
        <v>595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3" ht="12.75">
      <c r="A9" s="128">
        <v>1</v>
      </c>
      <c r="B9" s="410" t="s">
        <v>596</v>
      </c>
      <c r="C9" s="128"/>
      <c r="D9" s="489" t="s">
        <v>597</v>
      </c>
      <c r="E9" s="490">
        <f>F9+G9</f>
        <v>43</v>
      </c>
      <c r="F9" s="490">
        <f>Ремонт!D13</f>
        <v>43</v>
      </c>
      <c r="G9" s="490"/>
      <c r="H9" s="490"/>
      <c r="I9" s="491"/>
      <c r="J9" s="492">
        <f>E9</f>
        <v>43</v>
      </c>
      <c r="K9" s="164"/>
      <c r="L9" s="490">
        <f>E9</f>
        <v>43</v>
      </c>
      <c r="M9" s="491"/>
    </row>
    <row r="10" spans="1:13" ht="12.75">
      <c r="A10" s="128"/>
      <c r="B10" s="410"/>
      <c r="C10" s="128"/>
      <c r="D10" s="489"/>
      <c r="E10" s="490"/>
      <c r="F10" s="490"/>
      <c r="G10" s="490"/>
      <c r="H10" s="490"/>
      <c r="I10" s="491"/>
      <c r="J10" s="492"/>
      <c r="K10" s="164"/>
      <c r="L10" s="490"/>
      <c r="M10" s="491"/>
    </row>
    <row r="11" spans="1:13" ht="12.75">
      <c r="A11" s="128"/>
      <c r="B11" s="410" t="s">
        <v>484</v>
      </c>
      <c r="C11" s="128"/>
      <c r="D11" s="489"/>
      <c r="E11" s="493">
        <f>E9+E10</f>
        <v>43</v>
      </c>
      <c r="F11" s="493">
        <f>F9+F10</f>
        <v>43</v>
      </c>
      <c r="G11" s="493"/>
      <c r="H11" s="490"/>
      <c r="I11" s="491"/>
      <c r="J11" s="493">
        <f>J9+J10</f>
        <v>43</v>
      </c>
      <c r="K11" s="164"/>
      <c r="L11" s="493">
        <f>L9+L10</f>
        <v>43</v>
      </c>
      <c r="M11" s="491"/>
    </row>
    <row r="13" ht="51" customHeight="1"/>
    <row r="14" spans="2:9" s="67" customFormat="1" ht="12.75">
      <c r="B14" s="447" t="e">
        <f>'Расчет потребн. ЭЭ'!A15</f>
        <v>#REF!</v>
      </c>
      <c r="C14" s="448"/>
      <c r="E14" s="447"/>
      <c r="F14" s="447" t="e">
        <f>ЭЭ!D23</f>
        <v>#REF!</v>
      </c>
      <c r="G14" s="450"/>
      <c r="H14" s="448"/>
      <c r="I14" s="450"/>
    </row>
  </sheetData>
  <sheetProtection selectLockedCells="1" selectUnlockedCells="1"/>
  <mergeCells count="17">
    <mergeCell ref="A1:M1"/>
    <mergeCell ref="B2:F2"/>
    <mergeCell ref="H2:I2"/>
    <mergeCell ref="A4:A6"/>
    <mergeCell ref="B4:B6"/>
    <mergeCell ref="C4:C6"/>
    <mergeCell ref="D4:D6"/>
    <mergeCell ref="E4:I4"/>
    <mergeCell ref="J4:J6"/>
    <mergeCell ref="K4:M4"/>
    <mergeCell ref="E5:G5"/>
    <mergeCell ref="H5:I5"/>
    <mergeCell ref="K5:K6"/>
    <mergeCell ref="L5:L6"/>
    <mergeCell ref="M5:M6"/>
    <mergeCell ref="A7:M7"/>
    <mergeCell ref="B8:M8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view="pageBreakPreview" zoomScale="80" zoomScaleNormal="80" zoomScaleSheetLayoutView="80" workbookViewId="0" topLeftCell="A1">
      <selection activeCell="B36" sqref="B36"/>
    </sheetView>
  </sheetViews>
  <sheetFormatPr defaultColWidth="9.00390625" defaultRowHeight="12.75"/>
  <cols>
    <col min="1" max="1" width="6.125" style="40" customWidth="1"/>
    <col min="2" max="2" width="48.50390625" style="40" customWidth="1"/>
    <col min="3" max="3" width="10.625" style="40" customWidth="1"/>
    <col min="4" max="4" width="11.50390625" style="40" customWidth="1"/>
    <col min="5" max="5" width="9.375" style="40" customWidth="1"/>
    <col min="6" max="6" width="8.50390625" style="40" customWidth="1"/>
    <col min="7" max="7" width="9.375" style="40" customWidth="1"/>
    <col min="8" max="8" width="10.00390625" style="40" customWidth="1"/>
    <col min="9" max="9" width="16.50390625" style="40" customWidth="1"/>
    <col min="10" max="10" width="10.50390625" style="40" customWidth="1"/>
    <col min="11" max="11" width="10.625" style="40" customWidth="1"/>
    <col min="12" max="16384" width="9.125" style="40" customWidth="1"/>
  </cols>
  <sheetData>
    <row r="1" spans="1:256" ht="18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3" t="s">
        <v>78</v>
      </c>
      <c r="B2" s="43"/>
      <c r="C2" s="44">
        <f>'Баланс ВС'!D2</f>
        <v>0</v>
      </c>
      <c r="D2" s="45"/>
      <c r="E2" s="45"/>
      <c r="H2" s="46"/>
      <c r="I2" s="46"/>
      <c r="J2" s="47"/>
      <c r="K2" s="4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0" ht="12.75">
      <c r="A3" s="40" t="s">
        <v>79</v>
      </c>
      <c r="J3" s="48"/>
    </row>
    <row r="4" spans="1:10" s="34" customFormat="1" ht="15.75" customHeight="1">
      <c r="A4" s="49" t="s">
        <v>2</v>
      </c>
      <c r="B4" s="49" t="s">
        <v>80</v>
      </c>
      <c r="C4" s="5">
        <v>2015</v>
      </c>
      <c r="D4" s="5"/>
      <c r="E4" s="5">
        <v>2016</v>
      </c>
      <c r="F4" s="5"/>
      <c r="G4" s="5">
        <v>2017</v>
      </c>
      <c r="H4" s="5"/>
      <c r="I4" s="8">
        <v>2018</v>
      </c>
      <c r="J4" s="5" t="s">
        <v>4</v>
      </c>
    </row>
    <row r="5" spans="1:10" s="34" customFormat="1" ht="12.75">
      <c r="A5" s="49"/>
      <c r="B5" s="49"/>
      <c r="C5" s="9" t="s">
        <v>5</v>
      </c>
      <c r="D5" s="9" t="s">
        <v>6</v>
      </c>
      <c r="E5" s="9" t="s">
        <v>5</v>
      </c>
      <c r="F5" s="9" t="s">
        <v>6</v>
      </c>
      <c r="G5" s="9" t="s">
        <v>5</v>
      </c>
      <c r="H5" s="9" t="s">
        <v>7</v>
      </c>
      <c r="I5" s="10" t="s">
        <v>8</v>
      </c>
      <c r="J5" s="5"/>
    </row>
    <row r="6" spans="1:10" s="34" customFormat="1" ht="12.75" customHeight="1">
      <c r="A6" s="50"/>
      <c r="B6" s="50"/>
      <c r="C6" s="49" t="s">
        <v>9</v>
      </c>
      <c r="D6" s="49"/>
      <c r="E6" s="49"/>
      <c r="F6" s="49"/>
      <c r="G6" s="49"/>
      <c r="H6" s="49"/>
      <c r="I6" s="10" t="s">
        <v>81</v>
      </c>
      <c r="J6" s="5"/>
    </row>
    <row r="7" spans="1:10" s="34" customFormat="1" ht="12.75">
      <c r="A7" s="50"/>
      <c r="B7" s="50"/>
      <c r="C7" s="50"/>
      <c r="D7" s="50"/>
      <c r="E7" s="50"/>
      <c r="F7" s="50"/>
      <c r="G7" s="50"/>
      <c r="H7" s="50"/>
      <c r="I7" s="10"/>
      <c r="J7" s="5"/>
    </row>
    <row r="8" spans="1:10" ht="12.75">
      <c r="A8" s="51">
        <v>1</v>
      </c>
      <c r="B8" s="52" t="s">
        <v>82</v>
      </c>
      <c r="C8" s="52"/>
      <c r="D8" s="52"/>
      <c r="E8" s="52"/>
      <c r="F8" s="52"/>
      <c r="G8" s="52"/>
      <c r="H8" s="52"/>
      <c r="I8" s="53"/>
      <c r="J8" s="54"/>
    </row>
    <row r="9" spans="1:10" ht="12.75">
      <c r="A9" s="55"/>
      <c r="B9" s="56" t="s">
        <v>83</v>
      </c>
      <c r="C9" s="56"/>
      <c r="D9" s="56"/>
      <c r="E9" s="56"/>
      <c r="F9" s="56"/>
      <c r="G9" s="56"/>
      <c r="H9" s="56"/>
      <c r="I9" s="53"/>
      <c r="J9" s="54"/>
    </row>
    <row r="10" spans="1:10" ht="12.75">
      <c r="A10" s="55"/>
      <c r="B10" s="57" t="s">
        <v>84</v>
      </c>
      <c r="C10" s="56"/>
      <c r="D10" s="58">
        <v>0.687</v>
      </c>
      <c r="E10" s="56">
        <v>0.687</v>
      </c>
      <c r="F10" s="56"/>
      <c r="G10" s="56">
        <v>0.69</v>
      </c>
      <c r="H10" s="56">
        <v>0.69</v>
      </c>
      <c r="I10" s="56">
        <v>0.69</v>
      </c>
      <c r="J10" s="56">
        <v>0.69</v>
      </c>
    </row>
    <row r="11" spans="1:10" ht="12.75">
      <c r="A11" s="55"/>
      <c r="B11" s="57" t="s">
        <v>85</v>
      </c>
      <c r="C11" s="56"/>
      <c r="D11" s="58">
        <v>0.584</v>
      </c>
      <c r="E11" s="56">
        <v>0.584</v>
      </c>
      <c r="F11" s="56"/>
      <c r="G11" s="56">
        <v>0.58</v>
      </c>
      <c r="H11" s="56">
        <v>0.58</v>
      </c>
      <c r="I11" s="56">
        <v>0.58</v>
      </c>
      <c r="J11" s="56">
        <v>0.58</v>
      </c>
    </row>
    <row r="12" spans="1:10" ht="12.75">
      <c r="A12" s="55"/>
      <c r="B12" s="57" t="s">
        <v>86</v>
      </c>
      <c r="C12" s="56"/>
      <c r="D12" s="58">
        <v>0.552</v>
      </c>
      <c r="E12" s="56">
        <v>0.552</v>
      </c>
      <c r="F12" s="56"/>
      <c r="G12" s="56">
        <v>0.55</v>
      </c>
      <c r="H12" s="56">
        <v>0.55</v>
      </c>
      <c r="I12" s="56">
        <v>0.55</v>
      </c>
      <c r="J12" s="56">
        <v>0.55</v>
      </c>
    </row>
    <row r="13" spans="1:10" ht="12.75">
      <c r="A13" s="55"/>
      <c r="B13" s="56"/>
      <c r="C13" s="56"/>
      <c r="D13" s="58"/>
      <c r="E13" s="56"/>
      <c r="F13" s="56"/>
      <c r="G13" s="56"/>
      <c r="H13" s="56"/>
      <c r="I13" s="53"/>
      <c r="J13" s="53"/>
    </row>
    <row r="14" spans="1:10" ht="12.75">
      <c r="A14" s="59"/>
      <c r="B14" s="52" t="s">
        <v>87</v>
      </c>
      <c r="C14" s="60">
        <v>0.8</v>
      </c>
      <c r="D14" s="60">
        <f>SUM(D10:D13)</f>
        <v>1.8230000000000002</v>
      </c>
      <c r="E14" s="60">
        <f>SUM(E10:E13)</f>
        <v>1.8230000000000002</v>
      </c>
      <c r="F14" s="60">
        <v>0.91</v>
      </c>
      <c r="G14" s="60">
        <f>SUM(G10:G13)</f>
        <v>1.8199999999999998</v>
      </c>
      <c r="H14" s="60">
        <f>SUM(H10:H13)</f>
        <v>1.8199999999999998</v>
      </c>
      <c r="I14" s="60">
        <f>SUM(I10:I13)</f>
        <v>1.8199999999999998</v>
      </c>
      <c r="J14" s="60">
        <f>SUM(J10:J13)</f>
        <v>1.8199999999999998</v>
      </c>
    </row>
    <row r="15" spans="1:10" ht="12.75">
      <c r="A15" s="61"/>
      <c r="B15" s="52"/>
      <c r="C15" s="52"/>
      <c r="D15" s="62"/>
      <c r="E15" s="52"/>
      <c r="F15" s="52"/>
      <c r="G15" s="52"/>
      <c r="H15" s="52"/>
      <c r="I15" s="53"/>
      <c r="J15" s="53"/>
    </row>
    <row r="16" spans="1:10" ht="12.75">
      <c r="A16" s="51" t="s">
        <v>88</v>
      </c>
      <c r="B16" s="52" t="s">
        <v>89</v>
      </c>
      <c r="C16" s="52"/>
      <c r="D16" s="62"/>
      <c r="E16" s="52"/>
      <c r="F16" s="52"/>
      <c r="G16" s="52"/>
      <c r="H16" s="52"/>
      <c r="I16" s="53"/>
      <c r="J16" s="53"/>
    </row>
    <row r="17" spans="1:10" s="63" customFormat="1" ht="12.75">
      <c r="A17" s="55"/>
      <c r="B17" s="56"/>
      <c r="C17" s="56"/>
      <c r="D17" s="58"/>
      <c r="E17" s="56"/>
      <c r="F17" s="56"/>
      <c r="G17" s="56"/>
      <c r="H17" s="56"/>
      <c r="I17" s="53"/>
      <c r="J17" s="53"/>
    </row>
    <row r="18" spans="1:10" s="63" customFormat="1" ht="12.75">
      <c r="A18" s="55"/>
      <c r="B18" s="56"/>
      <c r="C18" s="56"/>
      <c r="D18" s="58"/>
      <c r="E18" s="56"/>
      <c r="F18" s="56"/>
      <c r="G18" s="56"/>
      <c r="H18" s="56"/>
      <c r="I18" s="53"/>
      <c r="J18" s="53"/>
    </row>
    <row r="19" spans="1:10" s="63" customFormat="1" ht="12.75">
      <c r="A19" s="55"/>
      <c r="B19" s="56"/>
      <c r="C19" s="56"/>
      <c r="D19" s="58"/>
      <c r="E19" s="56"/>
      <c r="F19" s="56"/>
      <c r="G19" s="56"/>
      <c r="H19" s="56"/>
      <c r="I19" s="53"/>
      <c r="J19" s="53"/>
    </row>
    <row r="20" spans="1:10" s="63" customFormat="1" ht="12.75">
      <c r="A20" s="55"/>
      <c r="B20" s="56"/>
      <c r="C20" s="56"/>
      <c r="D20" s="58"/>
      <c r="E20" s="56"/>
      <c r="F20" s="56"/>
      <c r="G20" s="56"/>
      <c r="H20" s="56"/>
      <c r="I20" s="53"/>
      <c r="J20" s="53"/>
    </row>
    <row r="21" spans="1:10" s="63" customFormat="1" ht="12.75">
      <c r="A21" s="55"/>
      <c r="B21" s="56"/>
      <c r="C21" s="56"/>
      <c r="D21" s="58"/>
      <c r="E21" s="56"/>
      <c r="F21" s="56"/>
      <c r="G21" s="56"/>
      <c r="H21" s="56"/>
      <c r="I21" s="53"/>
      <c r="J21" s="53"/>
    </row>
    <row r="22" spans="1:10" s="63" customFormat="1" ht="12.75">
      <c r="A22" s="55"/>
      <c r="B22" s="56" t="s">
        <v>90</v>
      </c>
      <c r="C22" s="56"/>
      <c r="D22" s="58"/>
      <c r="E22" s="56"/>
      <c r="F22" s="56"/>
      <c r="G22" s="56"/>
      <c r="H22" s="56"/>
      <c r="I22" s="53">
        <v>0.3</v>
      </c>
      <c r="J22" s="53">
        <v>0.3</v>
      </c>
    </row>
    <row r="23" spans="1:10" s="63" customFormat="1" ht="12.75">
      <c r="A23" s="55"/>
      <c r="B23" s="56"/>
      <c r="C23" s="56"/>
      <c r="D23" s="58"/>
      <c r="E23" s="56"/>
      <c r="F23" s="56"/>
      <c r="G23" s="56"/>
      <c r="H23" s="56"/>
      <c r="I23" s="53"/>
      <c r="J23" s="53"/>
    </row>
    <row r="24" spans="1:10" ht="12.75">
      <c r="A24" s="59"/>
      <c r="B24" s="52" t="s">
        <v>91</v>
      </c>
      <c r="C24" s="52">
        <v>0.3</v>
      </c>
      <c r="D24" s="62"/>
      <c r="E24" s="52"/>
      <c r="F24" s="52"/>
      <c r="G24" s="52"/>
      <c r="H24" s="52"/>
      <c r="I24" s="60">
        <f>SUM(I19:I23)</f>
        <v>0.3</v>
      </c>
      <c r="J24" s="60">
        <f>SUM(J19:J23)</f>
        <v>0.3</v>
      </c>
    </row>
    <row r="25" spans="1:10" ht="12.75">
      <c r="A25" s="61"/>
      <c r="B25" s="52"/>
      <c r="C25" s="52"/>
      <c r="D25" s="62"/>
      <c r="E25" s="52"/>
      <c r="F25" s="52"/>
      <c r="G25" s="52"/>
      <c r="H25" s="52"/>
      <c r="I25" s="53"/>
      <c r="J25" s="53"/>
    </row>
    <row r="26" spans="1:10" ht="12.75">
      <c r="A26" s="51" t="s">
        <v>41</v>
      </c>
      <c r="B26" s="52" t="s">
        <v>92</v>
      </c>
      <c r="C26" s="52"/>
      <c r="D26" s="62"/>
      <c r="E26" s="52"/>
      <c r="F26" s="52"/>
      <c r="G26" s="52"/>
      <c r="H26" s="52"/>
      <c r="I26" s="60"/>
      <c r="J26" s="60"/>
    </row>
    <row r="27" spans="1:10" ht="12.75">
      <c r="A27" s="51"/>
      <c r="B27" s="56" t="s">
        <v>93</v>
      </c>
      <c r="C27" s="56">
        <v>19.76</v>
      </c>
      <c r="D27" s="58">
        <v>20.092</v>
      </c>
      <c r="E27" s="56">
        <v>19.76</v>
      </c>
      <c r="F27" s="56">
        <v>9.88</v>
      </c>
      <c r="G27" s="56">
        <v>20.32</v>
      </c>
      <c r="H27" s="56">
        <v>20.32</v>
      </c>
      <c r="I27" s="53">
        <f>'ОбъемХВСпоЧД '!Q28/1000</f>
        <v>30.39636</v>
      </c>
      <c r="J27" s="53">
        <v>30.396</v>
      </c>
    </row>
    <row r="28" spans="1:10" ht="12.75">
      <c r="A28" s="51"/>
      <c r="B28" s="52" t="s">
        <v>94</v>
      </c>
      <c r="C28" s="60">
        <f aca="true" t="shared" si="0" ref="C28:H28">SUM(C27)</f>
        <v>19.76</v>
      </c>
      <c r="D28" s="60">
        <f t="shared" si="0"/>
        <v>20.092</v>
      </c>
      <c r="E28" s="60">
        <f t="shared" si="0"/>
        <v>19.76</v>
      </c>
      <c r="F28" s="60">
        <f t="shared" si="0"/>
        <v>9.88</v>
      </c>
      <c r="G28" s="60">
        <f t="shared" si="0"/>
        <v>20.32</v>
      </c>
      <c r="H28" s="60">
        <f t="shared" si="0"/>
        <v>20.32</v>
      </c>
      <c r="I28" s="60">
        <f>SUM(I27)</f>
        <v>30.39636</v>
      </c>
      <c r="J28" s="60">
        <f>SUM(J27)</f>
        <v>30.396</v>
      </c>
    </row>
    <row r="29" spans="1:10" ht="12.75">
      <c r="A29" s="51"/>
      <c r="B29" s="56"/>
      <c r="C29" s="56"/>
      <c r="D29" s="58"/>
      <c r="E29" s="56"/>
      <c r="F29" s="56"/>
      <c r="G29" s="56"/>
      <c r="H29" s="56"/>
      <c r="I29" s="60"/>
      <c r="J29" s="60"/>
    </row>
    <row r="30" spans="1:10" ht="12.75">
      <c r="A30" s="51"/>
      <c r="B30" s="64" t="s">
        <v>95</v>
      </c>
      <c r="C30" s="65">
        <f aca="true" t="shared" si="1" ref="C30:H30">C14+C24+C28</f>
        <v>20.860000000000003</v>
      </c>
      <c r="D30" s="65">
        <f t="shared" si="1"/>
        <v>21.915</v>
      </c>
      <c r="E30" s="65">
        <f t="shared" si="1"/>
        <v>21.583000000000002</v>
      </c>
      <c r="F30" s="65">
        <f t="shared" si="1"/>
        <v>10.790000000000001</v>
      </c>
      <c r="G30" s="65">
        <f t="shared" si="1"/>
        <v>22.14</v>
      </c>
      <c r="H30" s="65">
        <f t="shared" si="1"/>
        <v>22.14</v>
      </c>
      <c r="I30" s="65">
        <f>I14+I24+I28</f>
        <v>32.51636</v>
      </c>
      <c r="J30" s="65">
        <f>J14+J24+J28</f>
        <v>32.516</v>
      </c>
    </row>
    <row r="32" spans="2:10" s="66" customFormat="1" ht="48" customHeight="1">
      <c r="B32" s="45" t="str">
        <f>'Баланс ВС'!B45</f>
        <v>ИП </v>
      </c>
      <c r="C32" s="67" t="str">
        <f>'Баланс ВС'!D45</f>
        <v>Рябичко Д.С.</v>
      </c>
      <c r="F32" s="68"/>
      <c r="G32" s="67"/>
      <c r="I32" s="67"/>
      <c r="J32" s="67"/>
    </row>
  </sheetData>
  <sheetProtection selectLockedCells="1" selectUnlockedCells="1"/>
  <mergeCells count="9">
    <mergeCell ref="A1:I1"/>
    <mergeCell ref="A2:B2"/>
    <mergeCell ref="A4:A5"/>
    <mergeCell ref="B4:B5"/>
    <mergeCell ref="C4:D4"/>
    <mergeCell ref="E4:F4"/>
    <mergeCell ref="G4:H4"/>
    <mergeCell ref="J4:J5"/>
    <mergeCell ref="C6:H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workbookViewId="0" topLeftCell="A1">
      <selection activeCell="A22" sqref="A22"/>
    </sheetView>
  </sheetViews>
  <sheetFormatPr defaultColWidth="9.00390625" defaultRowHeight="12.75"/>
  <cols>
    <col min="1" max="1" width="111.00390625" style="0" customWidth="1"/>
    <col min="2" max="3" width="20.00390625" style="0" customWidth="1"/>
  </cols>
  <sheetData>
    <row r="1" spans="1:3" ht="12.75">
      <c r="A1" s="47"/>
      <c r="B1" s="47"/>
      <c r="C1" s="47"/>
    </row>
    <row r="2" spans="1:3" ht="12.75">
      <c r="A2" s="47"/>
      <c r="B2" s="47"/>
      <c r="C2" s="47"/>
    </row>
    <row r="3" spans="1:3" ht="12.75">
      <c r="A3" s="47"/>
      <c r="B3" s="47"/>
      <c r="C3" s="47"/>
    </row>
    <row r="4" spans="1:3" ht="12.75">
      <c r="A4" s="47"/>
      <c r="B4" s="47"/>
      <c r="C4" s="47"/>
    </row>
    <row r="5" spans="1:3" ht="12.75">
      <c r="A5" s="47"/>
      <c r="B5" s="47"/>
      <c r="C5" s="47"/>
    </row>
    <row r="6" spans="1:3" ht="12.75">
      <c r="A6" s="47"/>
      <c r="B6" s="47"/>
      <c r="C6" s="47"/>
    </row>
    <row r="7" spans="1:3" ht="12.75">
      <c r="A7" s="47"/>
      <c r="B7" s="47"/>
      <c r="C7" s="47"/>
    </row>
    <row r="8" spans="1:3" ht="12.75">
      <c r="A8" s="47"/>
      <c r="B8" s="47"/>
      <c r="C8" s="47"/>
    </row>
    <row r="9" spans="1:3" ht="12.75">
      <c r="A9" s="47"/>
      <c r="B9" s="47"/>
      <c r="C9" s="47"/>
    </row>
    <row r="10" spans="1:3" ht="12.75">
      <c r="A10" s="47"/>
      <c r="B10" s="47"/>
      <c r="C10" s="47"/>
    </row>
    <row r="11" spans="1:3" ht="12.75">
      <c r="A11" s="47"/>
      <c r="B11" s="47"/>
      <c r="C11" s="47"/>
    </row>
    <row r="12" spans="1:3" ht="12.75">
      <c r="A12" s="47"/>
      <c r="B12" s="47"/>
      <c r="C12" s="47"/>
    </row>
    <row r="13" spans="1:3" ht="12.75">
      <c r="A13" s="494" t="s">
        <v>598</v>
      </c>
      <c r="B13" s="494"/>
      <c r="C13" s="494"/>
    </row>
    <row r="14" spans="1:3" ht="12.75">
      <c r="A14" s="494" t="s">
        <v>599</v>
      </c>
      <c r="B14" s="494"/>
      <c r="C14" s="494"/>
    </row>
    <row r="15" spans="1:3" ht="12.75">
      <c r="A15" s="494" t="s">
        <v>600</v>
      </c>
      <c r="B15" s="494"/>
      <c r="C15" s="494"/>
    </row>
    <row r="16" spans="1:3" ht="12.75">
      <c r="A16" s="494"/>
      <c r="B16" s="494"/>
      <c r="C16" s="494"/>
    </row>
    <row r="17" spans="1:3" ht="12.75">
      <c r="A17" s="495" t="str">
        <f>КратСвед!A31</f>
        <v>ИП Рябичко Д.С.</v>
      </c>
      <c r="B17" s="496"/>
      <c r="C17" s="496"/>
    </row>
    <row r="18" spans="1:3" ht="18" customHeight="1">
      <c r="A18" s="497" t="s">
        <v>601</v>
      </c>
      <c r="B18" s="497"/>
      <c r="C18" s="497"/>
    </row>
    <row r="19" spans="1:3" ht="12.75">
      <c r="A19" s="496" t="s">
        <v>602</v>
      </c>
      <c r="B19" s="496"/>
      <c r="C19" s="496"/>
    </row>
    <row r="20" spans="1:3" ht="21.75" customHeight="1">
      <c r="A20" s="497" t="s">
        <v>603</v>
      </c>
      <c r="B20" s="497"/>
      <c r="C20" s="497"/>
    </row>
    <row r="21" spans="1:3" ht="12.75">
      <c r="A21" s="496" t="s">
        <v>142</v>
      </c>
      <c r="B21" s="496"/>
      <c r="C21" s="496"/>
    </row>
    <row r="22" spans="1:3" ht="24" customHeight="1">
      <c r="A22" s="497" t="s">
        <v>604</v>
      </c>
      <c r="B22" s="497"/>
      <c r="C22" s="497"/>
    </row>
    <row r="23" spans="1:3" ht="12.75">
      <c r="A23" s="47"/>
      <c r="B23" s="47"/>
      <c r="C23" s="47"/>
    </row>
    <row r="24" spans="1:3" ht="12.75">
      <c r="A24" s="47"/>
      <c r="B24" s="47"/>
      <c r="C24" s="47"/>
    </row>
    <row r="25" spans="1:3" ht="12.75">
      <c r="A25" s="47"/>
      <c r="B25" s="47"/>
      <c r="C25" s="47"/>
    </row>
    <row r="26" spans="1:3" ht="12.75">
      <c r="A26" s="47"/>
      <c r="B26" s="47"/>
      <c r="C26" s="47"/>
    </row>
    <row r="27" spans="1:3" ht="12.75">
      <c r="A27" s="47"/>
      <c r="B27" s="47"/>
      <c r="C27" s="47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110" zoomScaleSheetLayoutView="110" workbookViewId="0" topLeftCell="A15">
      <selection activeCell="G17" sqref="G17"/>
    </sheetView>
  </sheetViews>
  <sheetFormatPr defaultColWidth="9.00390625" defaultRowHeight="12.75"/>
  <cols>
    <col min="1" max="1" width="44.875" style="0" customWidth="1"/>
    <col min="2" max="2" width="23.50390625" style="0" customWidth="1"/>
    <col min="3" max="3" width="12.375" style="0" customWidth="1"/>
    <col min="4" max="4" width="19.50390625" style="0" customWidth="1"/>
    <col min="5" max="5" width="14.00390625" style="0" customWidth="1"/>
  </cols>
  <sheetData>
    <row r="1" spans="1:5" ht="29.25" customHeight="1">
      <c r="A1" s="498" t="s">
        <v>605</v>
      </c>
      <c r="B1" s="498"/>
      <c r="C1" s="498"/>
      <c r="D1" s="498"/>
      <c r="E1" s="498"/>
    </row>
    <row r="2" spans="1:5" ht="44.25" customHeight="1">
      <c r="A2" s="499" t="s">
        <v>606</v>
      </c>
      <c r="B2" s="500" t="s">
        <v>607</v>
      </c>
      <c r="C2" s="500"/>
      <c r="D2" s="500"/>
      <c r="E2" s="500"/>
    </row>
    <row r="3" spans="1:5" ht="33.75" customHeight="1">
      <c r="A3" s="499" t="s">
        <v>608</v>
      </c>
      <c r="B3" s="500" t="s">
        <v>609</v>
      </c>
      <c r="C3" s="500"/>
      <c r="D3" s="500"/>
      <c r="E3" s="500"/>
    </row>
    <row r="4" spans="1:5" ht="21" customHeight="1">
      <c r="A4" s="499" t="s">
        <v>610</v>
      </c>
      <c r="B4" s="500" t="s">
        <v>611</v>
      </c>
      <c r="C4" s="500"/>
      <c r="D4" s="500"/>
      <c r="E4" s="500"/>
    </row>
    <row r="5" spans="1:5" ht="21" customHeight="1">
      <c r="A5" s="499" t="s">
        <v>612</v>
      </c>
      <c r="B5" s="501" t="s">
        <v>613</v>
      </c>
      <c r="C5" s="501"/>
      <c r="D5" s="501"/>
      <c r="E5" s="501"/>
    </row>
    <row r="6" spans="1:5" ht="21" customHeight="1">
      <c r="A6" s="499" t="s">
        <v>614</v>
      </c>
      <c r="B6" s="500" t="s">
        <v>615</v>
      </c>
      <c r="C6" s="500"/>
      <c r="D6" s="500"/>
      <c r="E6" s="500"/>
    </row>
    <row r="7" spans="1:5" ht="21" customHeight="1">
      <c r="A7" s="499" t="s">
        <v>616</v>
      </c>
      <c r="B7" s="500" t="s">
        <v>617</v>
      </c>
      <c r="C7" s="500"/>
      <c r="D7" s="500"/>
      <c r="E7" s="500"/>
    </row>
    <row r="8" spans="1:5" ht="12.75" customHeight="1">
      <c r="A8" s="502" t="s">
        <v>618</v>
      </c>
      <c r="B8" s="503" t="s">
        <v>619</v>
      </c>
      <c r="C8" s="504" t="s">
        <v>620</v>
      </c>
      <c r="D8" s="503" t="s">
        <v>621</v>
      </c>
      <c r="E8" s="503" t="s">
        <v>622</v>
      </c>
    </row>
    <row r="9" spans="1:5" ht="15.75" customHeight="1">
      <c r="A9" s="502"/>
      <c r="B9" s="505" t="s">
        <v>623</v>
      </c>
      <c r="C9" s="504"/>
      <c r="D9" s="505" t="s">
        <v>624</v>
      </c>
      <c r="E9" s="505"/>
    </row>
    <row r="10" spans="1:5" ht="12.75">
      <c r="A10" s="502"/>
      <c r="B10" s="503" t="s">
        <v>625</v>
      </c>
      <c r="C10" s="503" t="s">
        <v>626</v>
      </c>
      <c r="D10" s="503" t="s">
        <v>627</v>
      </c>
      <c r="E10" s="506" t="s">
        <v>628</v>
      </c>
    </row>
    <row r="11" spans="1:5" ht="12.75">
      <c r="A11" s="502"/>
      <c r="B11" s="505"/>
      <c r="C11" s="505"/>
      <c r="D11" s="505"/>
      <c r="E11" s="507"/>
    </row>
    <row r="12" spans="1:5" ht="29.25" customHeight="1">
      <c r="A12" s="499" t="s">
        <v>629</v>
      </c>
      <c r="B12" s="500" t="s">
        <v>146</v>
      </c>
      <c r="C12" s="500"/>
      <c r="D12" s="500"/>
      <c r="E12" s="500"/>
    </row>
    <row r="13" spans="1:5" ht="18" customHeight="1">
      <c r="A13" s="499" t="s">
        <v>630</v>
      </c>
      <c r="B13" s="500" t="s">
        <v>631</v>
      </c>
      <c r="C13" s="500"/>
      <c r="D13" s="500"/>
      <c r="E13" s="500"/>
    </row>
    <row r="14" spans="1:5" ht="18" customHeight="1">
      <c r="A14" s="499" t="s">
        <v>632</v>
      </c>
      <c r="B14" s="500" t="s">
        <v>633</v>
      </c>
      <c r="C14" s="500"/>
      <c r="D14" s="500"/>
      <c r="E14" s="500"/>
    </row>
    <row r="15" spans="1:5" ht="63.75" customHeight="1">
      <c r="A15" s="499" t="s">
        <v>634</v>
      </c>
      <c r="B15" s="500" t="s">
        <v>635</v>
      </c>
      <c r="C15" s="500"/>
      <c r="D15" s="500"/>
      <c r="E15" s="500"/>
    </row>
    <row r="16" spans="1:5" ht="51" customHeight="1">
      <c r="A16" s="499" t="s">
        <v>636</v>
      </c>
      <c r="B16" s="500" t="s">
        <v>98</v>
      </c>
      <c r="C16" s="500"/>
      <c r="D16" s="500"/>
      <c r="E16" s="500"/>
    </row>
    <row r="17" spans="1:5" ht="63.75" customHeight="1">
      <c r="A17" s="499" t="s">
        <v>637</v>
      </c>
      <c r="B17" s="508" t="s">
        <v>638</v>
      </c>
      <c r="C17" s="508"/>
      <c r="D17" s="508"/>
      <c r="E17" s="508"/>
    </row>
    <row r="18" spans="1:5" ht="24.75" customHeight="1">
      <c r="A18" s="499" t="s">
        <v>639</v>
      </c>
      <c r="B18" s="509"/>
      <c r="C18" s="509"/>
      <c r="D18" s="509"/>
      <c r="E18" s="509"/>
    </row>
    <row r="19" spans="1:5" ht="16.5" customHeight="1">
      <c r="A19" s="499" t="s">
        <v>640</v>
      </c>
      <c r="B19" s="509"/>
      <c r="C19" s="509"/>
      <c r="D19" s="509"/>
      <c r="E19" s="509"/>
    </row>
    <row r="20" spans="1:5" ht="32.25" customHeight="1">
      <c r="A20" s="499" t="s">
        <v>641</v>
      </c>
      <c r="B20" s="500" t="s">
        <v>88</v>
      </c>
      <c r="C20" s="500"/>
      <c r="D20" s="500"/>
      <c r="E20" s="500"/>
    </row>
    <row r="21" spans="1:5" ht="46.5" customHeight="1">
      <c r="A21" s="499" t="s">
        <v>642</v>
      </c>
      <c r="B21" s="500" t="s">
        <v>643</v>
      </c>
      <c r="C21" s="500"/>
      <c r="D21" s="500"/>
      <c r="E21" s="500"/>
    </row>
    <row r="22" spans="1:5" ht="18" customHeight="1">
      <c r="A22" s="499" t="s">
        <v>644</v>
      </c>
      <c r="B22" s="500" t="s">
        <v>88</v>
      </c>
      <c r="C22" s="500"/>
      <c r="D22" s="500"/>
      <c r="E22" s="500"/>
    </row>
    <row r="23" spans="1:5" ht="19.5" customHeight="1">
      <c r="A23" s="499" t="s">
        <v>645</v>
      </c>
      <c r="B23" s="500" t="s">
        <v>646</v>
      </c>
      <c r="C23" s="500"/>
      <c r="D23" s="500"/>
      <c r="E23" s="500"/>
    </row>
    <row r="24" spans="1:5" ht="45.75" customHeight="1">
      <c r="A24" s="499" t="s">
        <v>647</v>
      </c>
      <c r="B24" s="509"/>
      <c r="C24" s="509"/>
      <c r="D24" s="509"/>
      <c r="E24" s="509"/>
    </row>
    <row r="26" spans="1:5" s="34" customFormat="1" ht="12.75">
      <c r="A26" s="510"/>
      <c r="B26" s="390"/>
      <c r="C26" s="511"/>
      <c r="D26" s="512"/>
      <c r="E26" s="512"/>
    </row>
    <row r="27" spans="1:4" s="390" customFormat="1" ht="32.25" customHeight="1">
      <c r="A27" s="390" t="s">
        <v>648</v>
      </c>
      <c r="D27" s="390" t="str">
        <f>B32</f>
        <v>Рябичко Д.С.</v>
      </c>
    </row>
    <row r="28" spans="1:5" s="34" customFormat="1" ht="12.75">
      <c r="A28" s="513"/>
      <c r="B28" s="390"/>
      <c r="C28" s="511"/>
      <c r="D28" s="512"/>
      <c r="E28" s="512"/>
    </row>
    <row r="31" ht="12.75">
      <c r="A31" t="s">
        <v>81</v>
      </c>
    </row>
    <row r="32" spans="1:2" ht="12.75">
      <c r="A32" t="s">
        <v>649</v>
      </c>
      <c r="B32" t="s">
        <v>650</v>
      </c>
    </row>
  </sheetData>
  <sheetProtection selectLockedCells="1" selectUnlockedCells="1"/>
  <mergeCells count="21">
    <mergeCell ref="A1:E1"/>
    <mergeCell ref="B2:E2"/>
    <mergeCell ref="B3:E3"/>
    <mergeCell ref="B4:E4"/>
    <mergeCell ref="B5:E5"/>
    <mergeCell ref="B6:E6"/>
    <mergeCell ref="B7:E7"/>
    <mergeCell ref="A8:A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</mergeCells>
  <hyperlinks>
    <hyperlink ref="B5" r:id="rId1" display="rds840507@mail.ru"/>
  </hyperlink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5:B21"/>
  <sheetViews>
    <sheetView view="pageBreakPreview" zoomScaleSheetLayoutView="100" workbookViewId="0" topLeftCell="A1">
      <selection activeCell="B21" sqref="B21"/>
    </sheetView>
  </sheetViews>
  <sheetFormatPr defaultColWidth="9.00390625" defaultRowHeight="12.75"/>
  <sheetData>
    <row r="5" ht="12.75">
      <c r="B5" s="514">
        <v>3</v>
      </c>
    </row>
    <row r="6" ht="12.75">
      <c r="B6" s="515">
        <v>1</v>
      </c>
    </row>
    <row r="7" ht="12.75">
      <c r="B7" s="515">
        <v>19</v>
      </c>
    </row>
    <row r="8" ht="12.75">
      <c r="B8" s="515">
        <v>1</v>
      </c>
    </row>
    <row r="9" ht="12.75">
      <c r="B9" s="515">
        <v>2</v>
      </c>
    </row>
    <row r="10" ht="12.75">
      <c r="B10" s="515">
        <v>2</v>
      </c>
    </row>
    <row r="11" ht="12.75">
      <c r="B11" s="515">
        <v>1</v>
      </c>
    </row>
    <row r="12" ht="12.75">
      <c r="B12" s="515">
        <v>2</v>
      </c>
    </row>
    <row r="13" ht="12.75">
      <c r="B13" s="515">
        <v>2</v>
      </c>
    </row>
    <row r="14" ht="12.75">
      <c r="B14" s="515">
        <v>1</v>
      </c>
    </row>
    <row r="15" ht="12.75">
      <c r="B15" s="515"/>
    </row>
    <row r="16" ht="12.75">
      <c r="B16" s="515"/>
    </row>
    <row r="17" ht="12.75">
      <c r="B17" s="515"/>
    </row>
    <row r="18" ht="12.75">
      <c r="B18" s="515"/>
    </row>
    <row r="19" ht="12.75">
      <c r="B19" s="515"/>
    </row>
    <row r="21" ht="12.75">
      <c r="B21" s="89">
        <f>SUM(B5:B20)</f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70" zoomScaleNormal="80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2" sqref="P2"/>
    </sheetView>
  </sheetViews>
  <sheetFormatPr defaultColWidth="9.00390625" defaultRowHeight="12.75"/>
  <cols>
    <col min="1" max="1" width="53.00390625" style="0" customWidth="1"/>
    <col min="2" max="2" width="12.375" style="0" customWidth="1"/>
    <col min="3" max="3" width="10.50390625" style="0" customWidth="1"/>
    <col min="4" max="4" width="9.50390625" style="0" customWidth="1"/>
    <col min="5" max="5" width="12.50390625" style="0" customWidth="1"/>
    <col min="6" max="6" width="13.00390625" style="0" customWidth="1"/>
    <col min="7" max="7" width="9.50390625" style="0" customWidth="1"/>
    <col min="8" max="9" width="13.00390625" style="0" customWidth="1"/>
    <col min="11" max="11" width="13.125" style="0" customWidth="1"/>
    <col min="12" max="12" width="12.875" style="0" customWidth="1"/>
    <col min="13" max="13" width="9.50390625" style="0" customWidth="1"/>
    <col min="14" max="15" width="13.00390625" style="0" customWidth="1"/>
    <col min="16" max="16" width="9.50390625" style="0" customWidth="1"/>
    <col min="17" max="18" width="13.00390625" style="0" customWidth="1"/>
    <col min="19" max="19" width="9.50390625" style="0" customWidth="1"/>
    <col min="20" max="21" width="13.00390625" style="0" customWidth="1"/>
  </cols>
  <sheetData>
    <row r="1" spans="1:6" ht="33.75" customHeight="1">
      <c r="A1" s="69" t="s">
        <v>96</v>
      </c>
      <c r="B1" s="69"/>
      <c r="C1" s="69"/>
      <c r="D1" s="70"/>
      <c r="E1" s="70"/>
      <c r="F1" s="70"/>
    </row>
    <row r="2" spans="1:18" ht="39" customHeight="1">
      <c r="A2" s="71" t="s">
        <v>97</v>
      </c>
      <c r="B2" s="72"/>
      <c r="C2" s="72"/>
      <c r="D2" s="73" t="s">
        <v>98</v>
      </c>
      <c r="E2" s="73"/>
      <c r="F2" s="73"/>
      <c r="G2" s="73" t="s">
        <v>98</v>
      </c>
      <c r="H2" s="73"/>
      <c r="I2" s="73"/>
      <c r="J2" s="73" t="s">
        <v>98</v>
      </c>
      <c r="K2" s="73"/>
      <c r="L2" s="73"/>
      <c r="M2" s="73" t="s">
        <v>98</v>
      </c>
      <c r="N2" s="73"/>
      <c r="O2" s="73"/>
      <c r="P2" s="73" t="s">
        <v>98</v>
      </c>
      <c r="Q2" s="73"/>
      <c r="R2" s="73"/>
    </row>
    <row r="3" spans="1:18" ht="37.5" customHeight="1">
      <c r="A3" s="74" t="s">
        <v>99</v>
      </c>
      <c r="B3" s="75"/>
      <c r="C3" s="75"/>
      <c r="D3" s="76" t="s">
        <v>100</v>
      </c>
      <c r="E3" s="76"/>
      <c r="F3" s="76"/>
      <c r="G3" s="76" t="s">
        <v>100</v>
      </c>
      <c r="H3" s="76"/>
      <c r="I3" s="76"/>
      <c r="J3" s="76" t="s">
        <v>100</v>
      </c>
      <c r="K3" s="76"/>
      <c r="L3" s="76"/>
      <c r="M3" s="76" t="s">
        <v>100</v>
      </c>
      <c r="N3" s="76"/>
      <c r="O3" s="76"/>
      <c r="P3" s="76" t="s">
        <v>100</v>
      </c>
      <c r="Q3" s="76"/>
      <c r="R3" s="76"/>
    </row>
    <row r="4" spans="1:6" ht="18.75" customHeight="1">
      <c r="A4" s="77" t="s">
        <v>101</v>
      </c>
      <c r="B4" s="78"/>
      <c r="C4" s="78"/>
      <c r="D4" s="79"/>
      <c r="E4" s="79"/>
      <c r="F4" s="79"/>
    </row>
    <row r="5" spans="1:18" ht="35.25" customHeight="1">
      <c r="A5" s="80" t="s">
        <v>102</v>
      </c>
      <c r="B5" s="81" t="s">
        <v>103</v>
      </c>
      <c r="C5" s="81" t="s">
        <v>104</v>
      </c>
      <c r="D5" s="82" t="s">
        <v>105</v>
      </c>
      <c r="E5" s="82"/>
      <c r="F5" s="82"/>
      <c r="G5" s="83" t="s">
        <v>106</v>
      </c>
      <c r="H5" s="83"/>
      <c r="I5" s="83"/>
      <c r="J5" s="82" t="s">
        <v>107</v>
      </c>
      <c r="K5" s="82"/>
      <c r="L5" s="82"/>
      <c r="M5" s="83" t="s">
        <v>108</v>
      </c>
      <c r="N5" s="83"/>
      <c r="O5" s="83"/>
      <c r="P5" s="83" t="s">
        <v>109</v>
      </c>
      <c r="Q5" s="83"/>
      <c r="R5" s="83"/>
    </row>
    <row r="6" spans="1:18" ht="75.75" customHeight="1">
      <c r="A6" s="80"/>
      <c r="B6" s="81"/>
      <c r="C6" s="81"/>
      <c r="D6" s="81" t="s">
        <v>110</v>
      </c>
      <c r="E6" s="81" t="s">
        <v>111</v>
      </c>
      <c r="F6" s="81" t="s">
        <v>112</v>
      </c>
      <c r="G6" s="81" t="s">
        <v>110</v>
      </c>
      <c r="H6" s="81" t="s">
        <v>111</v>
      </c>
      <c r="I6" s="81" t="s">
        <v>112</v>
      </c>
      <c r="J6" s="81" t="s">
        <v>110</v>
      </c>
      <c r="K6" s="81" t="s">
        <v>111</v>
      </c>
      <c r="L6" s="81" t="s">
        <v>112</v>
      </c>
      <c r="M6" s="81" t="s">
        <v>110</v>
      </c>
      <c r="N6" s="81" t="s">
        <v>111</v>
      </c>
      <c r="O6" s="81" t="s">
        <v>112</v>
      </c>
      <c r="P6" s="81" t="s">
        <v>110</v>
      </c>
      <c r="Q6" s="81" t="s">
        <v>111</v>
      </c>
      <c r="R6" s="81" t="s">
        <v>112</v>
      </c>
    </row>
    <row r="7" spans="1:19" ht="40.5" customHeight="1">
      <c r="A7" s="84" t="s">
        <v>113</v>
      </c>
      <c r="B7" s="85" t="s">
        <v>114</v>
      </c>
      <c r="C7" s="86">
        <v>6.04</v>
      </c>
      <c r="D7" s="87">
        <v>81</v>
      </c>
      <c r="E7" s="85">
        <v>217</v>
      </c>
      <c r="F7" s="88">
        <v>3962.48</v>
      </c>
      <c r="G7" s="87">
        <v>81</v>
      </c>
      <c r="H7" s="85">
        <v>207</v>
      </c>
      <c r="I7" s="88">
        <v>3748.3709999999996</v>
      </c>
      <c r="J7" s="87">
        <v>81</v>
      </c>
      <c r="K7" s="85">
        <v>207</v>
      </c>
      <c r="L7" s="88">
        <v>3513</v>
      </c>
      <c r="M7" s="87">
        <v>81</v>
      </c>
      <c r="N7" s="85">
        <v>207</v>
      </c>
      <c r="O7" s="88">
        <v>3748.3709999999996</v>
      </c>
      <c r="P7" s="87">
        <v>81</v>
      </c>
      <c r="Q7" s="85">
        <v>207</v>
      </c>
      <c r="R7" s="88">
        <f>C7*Q7*12/2*1.5</f>
        <v>11252.52</v>
      </c>
      <c r="S7" s="89">
        <f>R7/Q7/12</f>
        <v>4.53</v>
      </c>
    </row>
    <row r="8" spans="1:18" ht="40.5" customHeight="1">
      <c r="A8" s="84"/>
      <c r="B8" s="90" t="s">
        <v>115</v>
      </c>
      <c r="C8" s="86"/>
      <c r="D8" s="87">
        <v>46</v>
      </c>
      <c r="E8" s="85">
        <v>96</v>
      </c>
      <c r="F8" s="88">
        <f>E8*$C$7*12</f>
        <v>6958.08</v>
      </c>
      <c r="G8" s="87">
        <v>54</v>
      </c>
      <c r="H8" s="85">
        <v>102</v>
      </c>
      <c r="I8" s="88">
        <f>H8*$C$7*12</f>
        <v>7392.960000000001</v>
      </c>
      <c r="J8" s="87">
        <v>54</v>
      </c>
      <c r="K8" s="85">
        <v>102</v>
      </c>
      <c r="L8" s="88">
        <f>K8*$C$7*12</f>
        <v>7392.960000000001</v>
      </c>
      <c r="M8" s="87">
        <v>54</v>
      </c>
      <c r="N8" s="85">
        <v>102</v>
      </c>
      <c r="O8" s="88">
        <f>N8*6.04*6+N8*6.41*6</f>
        <v>7619.400000000001</v>
      </c>
      <c r="P8" s="87">
        <v>54</v>
      </c>
      <c r="Q8" s="85">
        <v>102</v>
      </c>
      <c r="R8" s="88">
        <f>Q8*6.41*6+Q8*6.78*6</f>
        <v>8072.280000000001</v>
      </c>
    </row>
    <row r="9" spans="1:19" ht="35.25" customHeight="1">
      <c r="A9" s="84" t="s">
        <v>116</v>
      </c>
      <c r="B9" s="85" t="s">
        <v>114</v>
      </c>
      <c r="C9" s="86">
        <v>3.14</v>
      </c>
      <c r="D9" s="87">
        <v>67</v>
      </c>
      <c r="E9" s="85">
        <v>106</v>
      </c>
      <c r="F9" s="88">
        <v>1320</v>
      </c>
      <c r="G9" s="87">
        <v>66</v>
      </c>
      <c r="H9" s="85">
        <v>120</v>
      </c>
      <c r="I9" s="88">
        <v>1536.48</v>
      </c>
      <c r="J9" s="87">
        <v>66</v>
      </c>
      <c r="K9" s="85">
        <v>120</v>
      </c>
      <c r="L9" s="88">
        <v>1440</v>
      </c>
      <c r="M9" s="87">
        <v>66</v>
      </c>
      <c r="N9" s="85">
        <v>120</v>
      </c>
      <c r="O9" s="88">
        <v>1536.48</v>
      </c>
      <c r="P9" s="87">
        <v>66</v>
      </c>
      <c r="Q9" s="85">
        <v>120</v>
      </c>
      <c r="R9" s="88">
        <f>C9*Q9*12/2*1.5</f>
        <v>3391.2000000000003</v>
      </c>
      <c r="S9" s="89">
        <f>R9/Q9/12</f>
        <v>2.355</v>
      </c>
    </row>
    <row r="10" spans="1:18" ht="35.25" customHeight="1">
      <c r="A10" s="84"/>
      <c r="B10" s="90" t="s">
        <v>115</v>
      </c>
      <c r="C10" s="86"/>
      <c r="D10" s="87">
        <v>43</v>
      </c>
      <c r="E10" s="85">
        <v>82</v>
      </c>
      <c r="F10" s="88">
        <f>E10*$C$9*12</f>
        <v>3089.76</v>
      </c>
      <c r="G10" s="87">
        <v>42</v>
      </c>
      <c r="H10" s="85">
        <v>77</v>
      </c>
      <c r="I10" s="88">
        <f>H10*$C$9*12</f>
        <v>2901.36</v>
      </c>
      <c r="J10" s="87">
        <v>42</v>
      </c>
      <c r="K10" s="85">
        <v>77</v>
      </c>
      <c r="L10" s="88">
        <f>K10*$C$9*12</f>
        <v>2901.36</v>
      </c>
      <c r="M10" s="87">
        <v>42</v>
      </c>
      <c r="N10" s="85">
        <v>77</v>
      </c>
      <c r="O10" s="88">
        <f>N10*$C$9*12</f>
        <v>2901.36</v>
      </c>
      <c r="P10" s="87">
        <v>42</v>
      </c>
      <c r="Q10" s="85">
        <v>77</v>
      </c>
      <c r="R10" s="88">
        <f>Q10*$C$9*12</f>
        <v>2901.36</v>
      </c>
    </row>
    <row r="11" spans="1:18" ht="17.25" customHeight="1">
      <c r="A11" s="84" t="s">
        <v>117</v>
      </c>
      <c r="B11" s="85" t="s">
        <v>114</v>
      </c>
      <c r="C11" s="86">
        <v>1.5</v>
      </c>
      <c r="D11" s="87">
        <v>6</v>
      </c>
      <c r="E11" s="85">
        <v>12</v>
      </c>
      <c r="F11" s="88">
        <v>259</v>
      </c>
      <c r="G11" s="87">
        <v>6</v>
      </c>
      <c r="H11" s="85">
        <v>19</v>
      </c>
      <c r="I11" s="88">
        <v>342</v>
      </c>
      <c r="J11" s="87">
        <v>6</v>
      </c>
      <c r="K11" s="85">
        <v>19</v>
      </c>
      <c r="L11" s="88">
        <v>342</v>
      </c>
      <c r="M11" s="87">
        <v>6</v>
      </c>
      <c r="N11" s="85">
        <v>19</v>
      </c>
      <c r="O11" s="88">
        <v>342</v>
      </c>
      <c r="P11" s="87">
        <v>6</v>
      </c>
      <c r="Q11" s="85">
        <v>19</v>
      </c>
      <c r="R11" s="88">
        <v>342</v>
      </c>
    </row>
    <row r="12" spans="1:18" ht="17.25" customHeight="1">
      <c r="A12" s="84"/>
      <c r="B12" s="90" t="s">
        <v>115</v>
      </c>
      <c r="C12" s="86"/>
      <c r="D12" s="87">
        <v>54</v>
      </c>
      <c r="E12" s="85">
        <v>134</v>
      </c>
      <c r="F12" s="88">
        <f>E12*$C$11*12</f>
        <v>2412</v>
      </c>
      <c r="G12" s="87">
        <v>54</v>
      </c>
      <c r="H12" s="85">
        <v>134</v>
      </c>
      <c r="I12" s="88">
        <f>H12*$C$11*12</f>
        <v>2412</v>
      </c>
      <c r="J12" s="87">
        <v>54</v>
      </c>
      <c r="K12" s="85">
        <v>134</v>
      </c>
      <c r="L12" s="88">
        <f>K12*$C$11*12</f>
        <v>2412</v>
      </c>
      <c r="M12" s="87">
        <v>54</v>
      </c>
      <c r="N12" s="85">
        <v>134</v>
      </c>
      <c r="O12" s="88">
        <f>N12*$C$11*12</f>
        <v>2412</v>
      </c>
      <c r="P12" s="87">
        <v>54</v>
      </c>
      <c r="Q12" s="85">
        <v>134</v>
      </c>
      <c r="R12" s="88">
        <f>Q12*$C$11*12</f>
        <v>2412</v>
      </c>
    </row>
    <row r="13" spans="1:18" ht="15" customHeight="1">
      <c r="A13" s="91" t="s">
        <v>118</v>
      </c>
      <c r="B13" s="85" t="s">
        <v>114</v>
      </c>
      <c r="C13" s="92" t="s">
        <v>119</v>
      </c>
      <c r="D13" s="85">
        <f aca="true" t="shared" si="0" ref="D13:R14">D7+D9+D11</f>
        <v>154</v>
      </c>
      <c r="E13" s="85">
        <f t="shared" si="0"/>
        <v>335</v>
      </c>
      <c r="F13" s="88">
        <f t="shared" si="0"/>
        <v>5541.48</v>
      </c>
      <c r="G13" s="85">
        <f t="shared" si="0"/>
        <v>153</v>
      </c>
      <c r="H13" s="85">
        <f t="shared" si="0"/>
        <v>346</v>
      </c>
      <c r="I13" s="88">
        <f t="shared" si="0"/>
        <v>5626.851</v>
      </c>
      <c r="J13" s="85">
        <f t="shared" si="0"/>
        <v>153</v>
      </c>
      <c r="K13" s="85">
        <f t="shared" si="0"/>
        <v>346</v>
      </c>
      <c r="L13" s="88">
        <f t="shared" si="0"/>
        <v>5295</v>
      </c>
      <c r="M13" s="85">
        <f t="shared" si="0"/>
        <v>153</v>
      </c>
      <c r="N13" s="85">
        <f t="shared" si="0"/>
        <v>346</v>
      </c>
      <c r="O13" s="88">
        <f t="shared" si="0"/>
        <v>5626.851</v>
      </c>
      <c r="P13" s="85">
        <f t="shared" si="0"/>
        <v>153</v>
      </c>
      <c r="Q13" s="85">
        <f t="shared" si="0"/>
        <v>346</v>
      </c>
      <c r="R13" s="88">
        <f t="shared" si="0"/>
        <v>14985.720000000001</v>
      </c>
    </row>
    <row r="14" spans="1:18" ht="15" customHeight="1">
      <c r="A14" s="91"/>
      <c r="B14" s="90" t="s">
        <v>115</v>
      </c>
      <c r="C14" s="92" t="s">
        <v>119</v>
      </c>
      <c r="D14" s="85">
        <f t="shared" si="0"/>
        <v>143</v>
      </c>
      <c r="E14" s="85">
        <f t="shared" si="0"/>
        <v>312</v>
      </c>
      <c r="F14" s="88">
        <f t="shared" si="0"/>
        <v>12459.84</v>
      </c>
      <c r="G14" s="85">
        <f t="shared" si="0"/>
        <v>150</v>
      </c>
      <c r="H14" s="85">
        <f t="shared" si="0"/>
        <v>313</v>
      </c>
      <c r="I14" s="88">
        <f t="shared" si="0"/>
        <v>12706.320000000002</v>
      </c>
      <c r="J14" s="85">
        <f t="shared" si="0"/>
        <v>150</v>
      </c>
      <c r="K14" s="85">
        <f t="shared" si="0"/>
        <v>313</v>
      </c>
      <c r="L14" s="88">
        <f t="shared" si="0"/>
        <v>12706.320000000002</v>
      </c>
      <c r="M14" s="85">
        <f t="shared" si="0"/>
        <v>150</v>
      </c>
      <c r="N14" s="85">
        <f t="shared" si="0"/>
        <v>313</v>
      </c>
      <c r="O14" s="88">
        <f t="shared" si="0"/>
        <v>12932.76</v>
      </c>
      <c r="P14" s="85">
        <f t="shared" si="0"/>
        <v>150</v>
      </c>
      <c r="Q14" s="85">
        <f t="shared" si="0"/>
        <v>313</v>
      </c>
      <c r="R14" s="88">
        <f t="shared" si="0"/>
        <v>13385.640000000001</v>
      </c>
    </row>
    <row r="15" spans="1:18" ht="14.25" customHeight="1">
      <c r="A15" s="91"/>
      <c r="B15" s="93" t="s">
        <v>120</v>
      </c>
      <c r="C15" s="94" t="s">
        <v>119</v>
      </c>
      <c r="D15" s="95">
        <f aca="true" t="shared" si="1" ref="D15:R15">D14+D13</f>
        <v>297</v>
      </c>
      <c r="E15" s="95">
        <f t="shared" si="1"/>
        <v>647</v>
      </c>
      <c r="F15" s="96">
        <f t="shared" si="1"/>
        <v>18001.32</v>
      </c>
      <c r="G15" s="95">
        <f t="shared" si="1"/>
        <v>303</v>
      </c>
      <c r="H15" s="95">
        <f t="shared" si="1"/>
        <v>659</v>
      </c>
      <c r="I15" s="96">
        <f t="shared" si="1"/>
        <v>18333.171000000002</v>
      </c>
      <c r="J15" s="95">
        <f t="shared" si="1"/>
        <v>303</v>
      </c>
      <c r="K15" s="95">
        <f t="shared" si="1"/>
        <v>659</v>
      </c>
      <c r="L15" s="96">
        <f t="shared" si="1"/>
        <v>18001.32</v>
      </c>
      <c r="M15" s="95">
        <f t="shared" si="1"/>
        <v>303</v>
      </c>
      <c r="N15" s="95">
        <f t="shared" si="1"/>
        <v>659</v>
      </c>
      <c r="O15" s="96">
        <f t="shared" si="1"/>
        <v>18559.611</v>
      </c>
      <c r="P15" s="95">
        <f t="shared" si="1"/>
        <v>303</v>
      </c>
      <c r="Q15" s="95">
        <f t="shared" si="1"/>
        <v>659</v>
      </c>
      <c r="R15" s="96">
        <f t="shared" si="1"/>
        <v>28371.36</v>
      </c>
    </row>
    <row r="16" spans="1:18" ht="12.75">
      <c r="A16" s="97" t="s">
        <v>121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12.75">
      <c r="A17" s="99" t="s">
        <v>122</v>
      </c>
      <c r="B17" s="81" t="s">
        <v>123</v>
      </c>
      <c r="C17" s="81" t="s">
        <v>124</v>
      </c>
      <c r="D17" s="100" t="s">
        <v>125</v>
      </c>
      <c r="E17" s="81" t="s">
        <v>126</v>
      </c>
      <c r="F17" s="101"/>
      <c r="G17" s="81" t="s">
        <v>125</v>
      </c>
      <c r="H17" s="81" t="s">
        <v>126</v>
      </c>
      <c r="I17" s="101"/>
      <c r="J17" s="81" t="s">
        <v>125</v>
      </c>
      <c r="K17" s="81" t="s">
        <v>126</v>
      </c>
      <c r="M17" s="81" t="s">
        <v>125</v>
      </c>
      <c r="N17" s="81" t="s">
        <v>126</v>
      </c>
      <c r="O17" s="101"/>
      <c r="P17" s="81" t="s">
        <v>125</v>
      </c>
      <c r="Q17" s="81" t="s">
        <v>126</v>
      </c>
      <c r="R17" s="101"/>
    </row>
    <row r="18" spans="1:18" ht="15" customHeight="1">
      <c r="A18" s="102" t="s">
        <v>127</v>
      </c>
      <c r="B18" s="80" t="s">
        <v>128</v>
      </c>
      <c r="C18" s="103">
        <v>0.054</v>
      </c>
      <c r="D18" s="104">
        <v>3185.18</v>
      </c>
      <c r="E18" s="88">
        <f>D18*C18*5</f>
        <v>859.9986</v>
      </c>
      <c r="F18" s="105"/>
      <c r="G18" s="104">
        <v>3185.18</v>
      </c>
      <c r="H18" s="88">
        <f>G18*C18*5</f>
        <v>859.9986</v>
      </c>
      <c r="I18" s="105"/>
      <c r="J18" s="106">
        <v>3185.18</v>
      </c>
      <c r="K18" s="88">
        <f>J18*$C$18*5</f>
        <v>859.9986</v>
      </c>
      <c r="M18" s="106">
        <v>3185.18</v>
      </c>
      <c r="N18" s="88">
        <f>M18*$C$18*5</f>
        <v>859.9986</v>
      </c>
      <c r="O18" s="105"/>
      <c r="P18" s="106">
        <f>P14*50</f>
        <v>7500</v>
      </c>
      <c r="Q18" s="88">
        <f>P18*$C$18*5</f>
        <v>2025</v>
      </c>
      <c r="R18" s="105"/>
    </row>
    <row r="19" spans="1:18" ht="12.75" customHeight="1">
      <c r="A19" s="107" t="s">
        <v>129</v>
      </c>
      <c r="B19" s="81" t="s">
        <v>130</v>
      </c>
      <c r="C19" s="108">
        <v>1.8</v>
      </c>
      <c r="D19" s="104">
        <v>21</v>
      </c>
      <c r="E19" s="88">
        <f aca="true" t="shared" si="2" ref="E19:E24">D19*C19*12</f>
        <v>453.6</v>
      </c>
      <c r="F19" s="109"/>
      <c r="G19" s="104">
        <v>21</v>
      </c>
      <c r="H19" s="88">
        <f aca="true" t="shared" si="3" ref="H19:H24">G19*C19*12</f>
        <v>453.6</v>
      </c>
      <c r="I19" s="101"/>
      <c r="J19" s="106">
        <v>21</v>
      </c>
      <c r="K19" s="88">
        <f>J19*$C$19*12</f>
        <v>453.6</v>
      </c>
      <c r="M19" s="106">
        <v>21</v>
      </c>
      <c r="N19" s="88">
        <f>M19*$C$19*12</f>
        <v>453.6</v>
      </c>
      <c r="O19" s="101"/>
      <c r="P19" s="106"/>
      <c r="Q19" s="88"/>
      <c r="R19" s="101"/>
    </row>
    <row r="20" spans="1:18" ht="12.75">
      <c r="A20" s="107" t="s">
        <v>131</v>
      </c>
      <c r="B20" s="81"/>
      <c r="C20" s="108">
        <v>0.75</v>
      </c>
      <c r="D20" s="104">
        <v>18</v>
      </c>
      <c r="E20" s="88">
        <f t="shared" si="2"/>
        <v>162</v>
      </c>
      <c r="F20" s="109"/>
      <c r="G20" s="104">
        <v>18</v>
      </c>
      <c r="H20" s="88">
        <f t="shared" si="3"/>
        <v>162</v>
      </c>
      <c r="I20" s="101"/>
      <c r="J20" s="106">
        <v>18</v>
      </c>
      <c r="K20" s="88">
        <f>J20*$C$20*12</f>
        <v>162</v>
      </c>
      <c r="M20" s="106">
        <v>18</v>
      </c>
      <c r="N20" s="88">
        <f>M20*$C$20*12</f>
        <v>162</v>
      </c>
      <c r="O20" s="101"/>
      <c r="P20" s="106"/>
      <c r="Q20" s="88"/>
      <c r="R20" s="101"/>
    </row>
    <row r="21" spans="1:18" ht="12.75">
      <c r="A21" s="107" t="s">
        <v>132</v>
      </c>
      <c r="B21" s="81"/>
      <c r="C21" s="108">
        <v>0.17</v>
      </c>
      <c r="D21" s="104">
        <v>0</v>
      </c>
      <c r="E21" s="88">
        <f t="shared" si="2"/>
        <v>0</v>
      </c>
      <c r="F21" s="109"/>
      <c r="G21" s="104">
        <v>0</v>
      </c>
      <c r="H21" s="88">
        <f t="shared" si="3"/>
        <v>0</v>
      </c>
      <c r="I21" s="101"/>
      <c r="J21" s="106">
        <v>0</v>
      </c>
      <c r="K21" s="88">
        <f>J21*$C$21*12</f>
        <v>0</v>
      </c>
      <c r="M21" s="106">
        <v>0</v>
      </c>
      <c r="N21" s="88">
        <f>M21*$C$21*12</f>
        <v>0</v>
      </c>
      <c r="O21" s="101"/>
      <c r="P21" s="106"/>
      <c r="Q21" s="88"/>
      <c r="R21" s="101"/>
    </row>
    <row r="22" spans="1:18" ht="12.75">
      <c r="A22" s="110" t="s">
        <v>133</v>
      </c>
      <c r="B22" s="81"/>
      <c r="C22" s="108">
        <v>0.09</v>
      </c>
      <c r="D22" s="104">
        <v>56</v>
      </c>
      <c r="E22" s="88">
        <f t="shared" si="2"/>
        <v>60.480000000000004</v>
      </c>
      <c r="F22" s="109"/>
      <c r="G22" s="104">
        <v>56</v>
      </c>
      <c r="H22" s="88">
        <f t="shared" si="3"/>
        <v>60.480000000000004</v>
      </c>
      <c r="I22" s="101"/>
      <c r="J22" s="106">
        <v>56</v>
      </c>
      <c r="K22" s="88">
        <f>J22*$C$22*12</f>
        <v>60.480000000000004</v>
      </c>
      <c r="M22" s="106">
        <v>56</v>
      </c>
      <c r="N22" s="88">
        <f>M22*$C$22*12</f>
        <v>60.480000000000004</v>
      </c>
      <c r="O22" s="101"/>
      <c r="P22" s="106"/>
      <c r="Q22" s="88"/>
      <c r="R22" s="101"/>
    </row>
    <row r="23" spans="1:18" ht="12.75">
      <c r="A23" s="110" t="s">
        <v>134</v>
      </c>
      <c r="B23" s="81"/>
      <c r="C23" s="108">
        <v>0.21</v>
      </c>
      <c r="D23" s="104">
        <v>0</v>
      </c>
      <c r="E23" s="88">
        <f t="shared" si="2"/>
        <v>0</v>
      </c>
      <c r="F23" s="109"/>
      <c r="G23" s="104">
        <v>0</v>
      </c>
      <c r="H23" s="88">
        <f t="shared" si="3"/>
        <v>0</v>
      </c>
      <c r="I23" s="101"/>
      <c r="J23" s="106">
        <v>0</v>
      </c>
      <c r="K23" s="88">
        <f>J23*$C$23*12</f>
        <v>0</v>
      </c>
      <c r="M23" s="106">
        <v>0</v>
      </c>
      <c r="N23" s="88">
        <f>M23*$C$23*12</f>
        <v>0</v>
      </c>
      <c r="O23" s="101"/>
      <c r="P23" s="106"/>
      <c r="Q23" s="88"/>
      <c r="R23" s="101"/>
    </row>
    <row r="24" spans="1:18" ht="12.75">
      <c r="A24" s="110" t="s">
        <v>135</v>
      </c>
      <c r="B24" s="81"/>
      <c r="C24" s="108">
        <v>0.03</v>
      </c>
      <c r="D24" s="104">
        <v>620</v>
      </c>
      <c r="E24" s="88">
        <f t="shared" si="2"/>
        <v>223.2</v>
      </c>
      <c r="F24" s="109"/>
      <c r="G24" s="104">
        <v>620</v>
      </c>
      <c r="H24" s="88">
        <f t="shared" si="3"/>
        <v>223.2</v>
      </c>
      <c r="I24" s="101"/>
      <c r="J24" s="106">
        <v>620</v>
      </c>
      <c r="K24" s="88">
        <f>J24*$C$24*12</f>
        <v>223.2</v>
      </c>
      <c r="M24" s="106">
        <v>620</v>
      </c>
      <c r="N24" s="88">
        <f>M24*$C$24*12</f>
        <v>223.2</v>
      </c>
      <c r="O24" s="101"/>
      <c r="P24" s="106"/>
      <c r="Q24" s="88"/>
      <c r="R24" s="101"/>
    </row>
    <row r="25" spans="1:18" ht="14.25" customHeight="1">
      <c r="A25" s="111" t="s">
        <v>136</v>
      </c>
      <c r="B25" s="112"/>
      <c r="C25" s="82" t="s">
        <v>119</v>
      </c>
      <c r="D25" s="113" t="s">
        <v>119</v>
      </c>
      <c r="E25" s="96">
        <f>SUM(E18:E24)</f>
        <v>1759.2786</v>
      </c>
      <c r="F25" s="114"/>
      <c r="G25" s="82" t="s">
        <v>119</v>
      </c>
      <c r="H25" s="96">
        <f>SUM(H18:H24)</f>
        <v>1759.2786</v>
      </c>
      <c r="I25" s="114"/>
      <c r="J25" s="82" t="s">
        <v>119</v>
      </c>
      <c r="K25" s="96">
        <f>SUM(K18:K24)</f>
        <v>1759.2786</v>
      </c>
      <c r="M25" s="82" t="s">
        <v>119</v>
      </c>
      <c r="N25" s="96">
        <f>SUM(N18:N24)</f>
        <v>1759.2786</v>
      </c>
      <c r="O25" s="114"/>
      <c r="P25" s="82" t="s">
        <v>119</v>
      </c>
      <c r="Q25" s="96">
        <f>SUM(Q18:Q24)</f>
        <v>2025</v>
      </c>
      <c r="R25" s="114"/>
    </row>
    <row r="26" spans="1:18" ht="12.75" customHeight="1">
      <c r="A26" s="91" t="s">
        <v>137</v>
      </c>
      <c r="B26" s="90" t="s">
        <v>114</v>
      </c>
      <c r="C26" s="115" t="s">
        <v>119</v>
      </c>
      <c r="D26" s="116" t="s">
        <v>119</v>
      </c>
      <c r="E26" s="117">
        <f>F13</f>
        <v>5541.48</v>
      </c>
      <c r="F26" s="118"/>
      <c r="G26" s="115" t="s">
        <v>119</v>
      </c>
      <c r="H26" s="117">
        <f>I13</f>
        <v>5626.851</v>
      </c>
      <c r="I26" s="118"/>
      <c r="J26" s="115" t="s">
        <v>119</v>
      </c>
      <c r="K26" s="117">
        <f>L13</f>
        <v>5295</v>
      </c>
      <c r="M26" s="115" t="s">
        <v>119</v>
      </c>
      <c r="N26" s="117">
        <f>O13</f>
        <v>5626.851</v>
      </c>
      <c r="O26" s="118"/>
      <c r="P26" s="115" t="s">
        <v>119</v>
      </c>
      <c r="Q26" s="117">
        <f>R13</f>
        <v>14985.720000000001</v>
      </c>
      <c r="R26" s="118"/>
    </row>
    <row r="27" spans="1:18" ht="12.75">
      <c r="A27" s="91"/>
      <c r="B27" s="90" t="s">
        <v>115</v>
      </c>
      <c r="C27" s="115" t="s">
        <v>119</v>
      </c>
      <c r="D27" s="116" t="s">
        <v>119</v>
      </c>
      <c r="E27" s="117">
        <f>F14+E25</f>
        <v>14219.1186</v>
      </c>
      <c r="F27" s="118"/>
      <c r="G27" s="115" t="s">
        <v>119</v>
      </c>
      <c r="H27" s="117">
        <f>I14+H25</f>
        <v>14465.598600000001</v>
      </c>
      <c r="I27" s="118"/>
      <c r="J27" s="115" t="s">
        <v>119</v>
      </c>
      <c r="K27" s="117">
        <f>L14+K25</f>
        <v>14465.598600000001</v>
      </c>
      <c r="M27" s="115" t="s">
        <v>119</v>
      </c>
      <c r="N27" s="117">
        <f>O14+N25</f>
        <v>14692.0386</v>
      </c>
      <c r="O27" s="118"/>
      <c r="P27" s="115" t="s">
        <v>119</v>
      </c>
      <c r="Q27" s="117">
        <f>R14+Q25</f>
        <v>15410.640000000001</v>
      </c>
      <c r="R27" s="118"/>
    </row>
    <row r="28" spans="1:18" ht="12.75">
      <c r="A28" s="91"/>
      <c r="B28" s="115" t="s">
        <v>119</v>
      </c>
      <c r="C28" s="115" t="s">
        <v>119</v>
      </c>
      <c r="D28" s="116" t="s">
        <v>119</v>
      </c>
      <c r="E28" s="117">
        <f>E26+E27</f>
        <v>19760.598599999998</v>
      </c>
      <c r="F28" s="118"/>
      <c r="G28" s="115" t="s">
        <v>119</v>
      </c>
      <c r="H28" s="117">
        <f>H26+H27</f>
        <v>20092.4496</v>
      </c>
      <c r="I28" s="118"/>
      <c r="J28" s="115" t="s">
        <v>119</v>
      </c>
      <c r="K28" s="117">
        <f>K26+K27</f>
        <v>19760.5986</v>
      </c>
      <c r="M28" s="115" t="s">
        <v>119</v>
      </c>
      <c r="N28" s="117">
        <f>N26+N27</f>
        <v>20318.8896</v>
      </c>
      <c r="O28" s="118"/>
      <c r="P28" s="115" t="s">
        <v>119</v>
      </c>
      <c r="Q28" s="117">
        <f>Q26+Q27</f>
        <v>30396.36</v>
      </c>
      <c r="R28" s="118"/>
    </row>
    <row r="30" spans="1:6" ht="12.75">
      <c r="A30" s="119"/>
      <c r="B30" s="120"/>
      <c r="C30" s="120"/>
      <c r="D30" s="121"/>
      <c r="E30" s="121"/>
      <c r="F30" s="121"/>
    </row>
    <row r="31" spans="1:18" ht="12.75">
      <c r="A31" s="76"/>
      <c r="B31" s="122"/>
      <c r="C31" s="122"/>
      <c r="D31" s="123"/>
      <c r="E31" s="123"/>
      <c r="F31" s="123"/>
      <c r="G31" s="67"/>
      <c r="H31" s="66"/>
      <c r="I31" s="66"/>
      <c r="J31" s="67"/>
      <c r="K31" s="66"/>
      <c r="L31" s="66"/>
      <c r="M31" s="67"/>
      <c r="N31" s="66"/>
      <c r="O31" s="66"/>
      <c r="P31" s="67"/>
      <c r="Q31" s="66"/>
      <c r="R31" s="66"/>
    </row>
    <row r="32" spans="1:6" ht="12.75">
      <c r="A32" s="76"/>
      <c r="B32" s="124"/>
      <c r="C32" s="124"/>
      <c r="D32" s="123"/>
      <c r="E32" s="123"/>
      <c r="F32" s="123"/>
    </row>
    <row r="33" spans="1:18" s="66" customFormat="1" ht="12.75">
      <c r="A33" s="33"/>
      <c r="D33" s="68"/>
      <c r="E33" s="68"/>
      <c r="F33" s="68"/>
      <c r="G33"/>
      <c r="H33" s="125"/>
      <c r="I33" s="125"/>
      <c r="J33"/>
      <c r="K33" s="125"/>
      <c r="L33" s="125"/>
      <c r="M33"/>
      <c r="N33" s="125"/>
      <c r="O33" s="125"/>
      <c r="P33"/>
      <c r="Q33" s="125"/>
      <c r="R33" s="125"/>
    </row>
  </sheetData>
  <sheetProtection selectLockedCells="1" selectUnlockedCells="1"/>
  <mergeCells count="36">
    <mergeCell ref="A1:C1"/>
    <mergeCell ref="D2:F2"/>
    <mergeCell ref="G2:I2"/>
    <mergeCell ref="J2:L2"/>
    <mergeCell ref="M2:O2"/>
    <mergeCell ref="P2:R2"/>
    <mergeCell ref="D3:F3"/>
    <mergeCell ref="G3:I3"/>
    <mergeCell ref="J3:L3"/>
    <mergeCell ref="M3:O3"/>
    <mergeCell ref="P3:R3"/>
    <mergeCell ref="A5:A6"/>
    <mergeCell ref="B5:B6"/>
    <mergeCell ref="C5:C6"/>
    <mergeCell ref="D5:F5"/>
    <mergeCell ref="G5:I5"/>
    <mergeCell ref="J5:L5"/>
    <mergeCell ref="M5:O5"/>
    <mergeCell ref="P5:R5"/>
    <mergeCell ref="A7:A8"/>
    <mergeCell ref="C7:C8"/>
    <mergeCell ref="A9:A10"/>
    <mergeCell ref="C9:C10"/>
    <mergeCell ref="A11:A12"/>
    <mergeCell ref="C11:C12"/>
    <mergeCell ref="A13:A15"/>
    <mergeCell ref="B19:B24"/>
    <mergeCell ref="F19:F24"/>
    <mergeCell ref="I19:I24"/>
    <mergeCell ref="O19:O24"/>
    <mergeCell ref="R19:R24"/>
    <mergeCell ref="A26:A28"/>
    <mergeCell ref="H33:I33"/>
    <mergeCell ref="K33:L33"/>
    <mergeCell ref="N33:O33"/>
    <mergeCell ref="Q33:R3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Normal="110" zoomScaleSheetLayoutView="100" workbookViewId="0" topLeftCell="A17">
      <selection activeCell="M27" sqref="M27"/>
    </sheetView>
  </sheetViews>
  <sheetFormatPr defaultColWidth="9.00390625" defaultRowHeight="12.75"/>
  <cols>
    <col min="1" max="1" width="5.375" style="0" customWidth="1"/>
    <col min="2" max="2" width="33.125" style="126" customWidth="1"/>
    <col min="3" max="3" width="13.50390625" style="0" customWidth="1"/>
    <col min="4" max="4" width="12.75390625" style="0" customWidth="1"/>
    <col min="5" max="5" width="13.00390625" style="0" customWidth="1"/>
  </cols>
  <sheetData>
    <row r="1" spans="1:7" ht="12.75">
      <c r="A1" s="2" t="s">
        <v>138</v>
      </c>
      <c r="B1" s="2"/>
      <c r="C1" s="2"/>
      <c r="D1" s="2"/>
      <c r="E1" s="2"/>
      <c r="F1" s="2"/>
      <c r="G1" s="2"/>
    </row>
    <row r="2" spans="1:11" ht="12.75">
      <c r="A2" s="3" t="s">
        <v>139</v>
      </c>
      <c r="B2" s="3"/>
      <c r="C2" s="3"/>
      <c r="D2" s="3"/>
      <c r="E2" s="3"/>
      <c r="F2" s="3"/>
      <c r="G2" s="3"/>
      <c r="H2" s="45"/>
      <c r="I2" s="45"/>
      <c r="J2" s="45"/>
      <c r="K2" s="45"/>
    </row>
    <row r="3" spans="1:4" ht="12.75">
      <c r="A3" s="127"/>
      <c r="B3" s="127"/>
      <c r="C3" s="127"/>
      <c r="D3" s="127"/>
    </row>
    <row r="4" spans="1:7" ht="18" customHeight="1">
      <c r="A4" s="5" t="s">
        <v>2</v>
      </c>
      <c r="B4" s="6" t="s">
        <v>140</v>
      </c>
      <c r="C4" s="5" t="s">
        <v>141</v>
      </c>
      <c r="D4" s="128" t="s">
        <v>142</v>
      </c>
      <c r="E4" s="128" t="s">
        <v>142</v>
      </c>
      <c r="F4" s="129" t="s">
        <v>143</v>
      </c>
      <c r="G4" s="129"/>
    </row>
    <row r="5" spans="1:7" ht="45" customHeight="1">
      <c r="A5" s="5"/>
      <c r="B5" s="6"/>
      <c r="C5" s="5"/>
      <c r="D5" s="128" t="s">
        <v>8</v>
      </c>
      <c r="E5" s="128" t="s">
        <v>144</v>
      </c>
      <c r="F5" s="130" t="s">
        <v>145</v>
      </c>
      <c r="G5" s="130" t="s">
        <v>76</v>
      </c>
    </row>
    <row r="6" spans="1:7" ht="12.75">
      <c r="A6" s="131" t="s">
        <v>146</v>
      </c>
      <c r="B6" s="14" t="s">
        <v>147</v>
      </c>
      <c r="C6" s="13" t="s">
        <v>148</v>
      </c>
      <c r="D6" s="132">
        <f>D7+D8+D9+D10+D11+D12+D13+D14</f>
        <v>726.7414141414141</v>
      </c>
      <c r="E6" s="132">
        <f>E7+E8+E9+E10+E11+E12+E13+E14</f>
        <v>730.9835051546391</v>
      </c>
      <c r="F6" s="132">
        <f>E6-D6</f>
        <v>4.242091013225036</v>
      </c>
      <c r="G6" s="132">
        <f>F6/D6*100</f>
        <v>0.5837139497873148</v>
      </c>
    </row>
    <row r="7" spans="1:7" ht="12.75">
      <c r="A7" s="133" t="s">
        <v>11</v>
      </c>
      <c r="B7" s="17" t="s">
        <v>149</v>
      </c>
      <c r="C7" s="6" t="s">
        <v>148</v>
      </c>
      <c r="D7" s="18">
        <f>'Смета расх.'!D6</f>
        <v>290.03</v>
      </c>
      <c r="E7" s="18">
        <f>'Смета расх.'!E6</f>
        <v>288.61</v>
      </c>
      <c r="F7" s="18">
        <f>E7-D7</f>
        <v>-1.419999999999959</v>
      </c>
      <c r="G7" s="18">
        <f>F7/D7*100</f>
        <v>-0.48960452366995116</v>
      </c>
    </row>
    <row r="8" spans="1:7" ht="12.75">
      <c r="A8" s="133" t="s">
        <v>20</v>
      </c>
      <c r="B8" s="17" t="s">
        <v>150</v>
      </c>
      <c r="C8" s="6" t="s">
        <v>148</v>
      </c>
      <c r="D8" s="18">
        <f>'Смета расх.'!D28</f>
        <v>160.18</v>
      </c>
      <c r="E8" s="18">
        <f>'Смета расх.'!E28</f>
        <v>151.18</v>
      </c>
      <c r="F8" s="18">
        <f>E8-D8</f>
        <v>-9</v>
      </c>
      <c r="G8" s="18">
        <f>F8/D8*100</f>
        <v>-5.6186789861405915</v>
      </c>
    </row>
    <row r="9" spans="1:7" ht="12.75">
      <c r="A9" s="133" t="s">
        <v>22</v>
      </c>
      <c r="B9" s="17" t="s">
        <v>151</v>
      </c>
      <c r="C9" s="6" t="s">
        <v>148</v>
      </c>
      <c r="D9" s="18">
        <f>'Смета расх.'!D34</f>
        <v>261.984</v>
      </c>
      <c r="E9" s="18">
        <f>'Смета расх.'!E34</f>
        <v>261.984</v>
      </c>
      <c r="F9" s="18"/>
      <c r="G9" s="18"/>
    </row>
    <row r="10" spans="1:7" ht="12" customHeight="1">
      <c r="A10" s="133" t="s">
        <v>24</v>
      </c>
      <c r="B10" s="17" t="s">
        <v>152</v>
      </c>
      <c r="C10" s="6" t="s">
        <v>148</v>
      </c>
      <c r="D10" s="18"/>
      <c r="E10" s="18"/>
      <c r="F10" s="18"/>
      <c r="G10" s="18"/>
    </row>
    <row r="11" spans="1:7" ht="12.75">
      <c r="A11" s="133" t="s">
        <v>153</v>
      </c>
      <c r="B11" s="17" t="s">
        <v>154</v>
      </c>
      <c r="C11" s="6" t="s">
        <v>148</v>
      </c>
      <c r="D11" s="18"/>
      <c r="E11" s="18"/>
      <c r="F11" s="18"/>
      <c r="G11" s="18"/>
    </row>
    <row r="12" spans="1:7" ht="25.5" customHeight="1">
      <c r="A12" s="133" t="s">
        <v>155</v>
      </c>
      <c r="B12" s="31" t="s">
        <v>156</v>
      </c>
      <c r="C12" s="6" t="s">
        <v>148</v>
      </c>
      <c r="D12" s="18"/>
      <c r="E12" s="18"/>
      <c r="F12" s="18"/>
      <c r="G12" s="18"/>
    </row>
    <row r="13" spans="1:7" ht="12.75">
      <c r="A13" s="133" t="s">
        <v>157</v>
      </c>
      <c r="B13" s="17" t="s">
        <v>158</v>
      </c>
      <c r="C13" s="6" t="s">
        <v>148</v>
      </c>
      <c r="D13" s="18">
        <f>'Смета расх.'!D62</f>
        <v>14.54741414141414</v>
      </c>
      <c r="E13" s="18">
        <f>'Смета расх.'!E62</f>
        <v>29.209505154639174</v>
      </c>
      <c r="F13" s="18">
        <f>E13-D13</f>
        <v>14.662091013225034</v>
      </c>
      <c r="G13" s="18">
        <f>F13/D13*100</f>
        <v>100.78829729253687</v>
      </c>
    </row>
    <row r="14" spans="1:7" s="134" customFormat="1" ht="12.75">
      <c r="A14" s="133" t="s">
        <v>159</v>
      </c>
      <c r="B14" s="17" t="s">
        <v>160</v>
      </c>
      <c r="C14" s="6" t="s">
        <v>148</v>
      </c>
      <c r="D14" s="18"/>
      <c r="E14" s="18"/>
      <c r="F14" s="18"/>
      <c r="G14" s="18"/>
    </row>
    <row r="15" spans="1:7" s="134" customFormat="1" ht="27" customHeight="1">
      <c r="A15" s="131" t="s">
        <v>88</v>
      </c>
      <c r="B15" s="30" t="s">
        <v>161</v>
      </c>
      <c r="C15" s="6" t="s">
        <v>148</v>
      </c>
      <c r="D15" s="18"/>
      <c r="E15" s="18"/>
      <c r="F15" s="18"/>
      <c r="G15" s="18"/>
    </row>
    <row r="16" spans="1:7" ht="68.25" customHeight="1">
      <c r="A16" s="133" t="s">
        <v>27</v>
      </c>
      <c r="B16" s="31" t="s">
        <v>162</v>
      </c>
      <c r="C16" s="6" t="s">
        <v>148</v>
      </c>
      <c r="D16" s="18"/>
      <c r="E16" s="18"/>
      <c r="F16" s="18"/>
      <c r="G16" s="18"/>
    </row>
    <row r="17" spans="1:7" ht="27" customHeight="1">
      <c r="A17" s="133" t="s">
        <v>35</v>
      </c>
      <c r="B17" s="31" t="s">
        <v>163</v>
      </c>
      <c r="C17" s="6" t="s">
        <v>148</v>
      </c>
      <c r="D17" s="18"/>
      <c r="E17" s="18"/>
      <c r="F17" s="18"/>
      <c r="G17" s="18"/>
    </row>
    <row r="18" spans="1:7" ht="56.25" customHeight="1">
      <c r="A18" s="133" t="s">
        <v>37</v>
      </c>
      <c r="B18" s="31" t="s">
        <v>164</v>
      </c>
      <c r="C18" s="6" t="s">
        <v>148</v>
      </c>
      <c r="D18" s="18"/>
      <c r="E18" s="18"/>
      <c r="F18" s="18"/>
      <c r="G18" s="18"/>
    </row>
    <row r="19" spans="1:7" ht="15.75" customHeight="1">
      <c r="A19" s="131" t="s">
        <v>41</v>
      </c>
      <c r="B19" s="14" t="s">
        <v>165</v>
      </c>
      <c r="C19" s="13" t="s">
        <v>148</v>
      </c>
      <c r="D19" s="132">
        <f>D6+D15</f>
        <v>726.7414141414141</v>
      </c>
      <c r="E19" s="132">
        <f>E6+E15</f>
        <v>730.9835051546391</v>
      </c>
      <c r="F19" s="132">
        <f>E19-D19</f>
        <v>4.242091013225036</v>
      </c>
      <c r="G19" s="132">
        <f>F19/D19*100</f>
        <v>0.5837139497873148</v>
      </c>
    </row>
    <row r="20" spans="1:7" ht="15.75" customHeight="1">
      <c r="A20" s="131" t="s">
        <v>62</v>
      </c>
      <c r="B20" s="14" t="s">
        <v>166</v>
      </c>
      <c r="C20" s="13" t="s">
        <v>13</v>
      </c>
      <c r="D20" s="132">
        <f>'Баланс ВС'!J31</f>
        <v>32.51636</v>
      </c>
      <c r="E20" s="132">
        <f>'Баланс ВС'!K31</f>
        <v>32.516</v>
      </c>
      <c r="F20" s="132"/>
      <c r="G20" s="132"/>
    </row>
    <row r="21" spans="1:7" ht="15" customHeight="1">
      <c r="A21" s="135" t="s">
        <v>64</v>
      </c>
      <c r="B21" s="136" t="s">
        <v>167</v>
      </c>
      <c r="C21" s="137" t="s">
        <v>168</v>
      </c>
      <c r="D21" s="132">
        <f>D19/D20</f>
        <v>22.350023623228864</v>
      </c>
      <c r="E21" s="132">
        <f>E19/E20</f>
        <v>22.480732720957043</v>
      </c>
      <c r="F21" s="132">
        <f>E21-D21</f>
        <v>0.13070909772817885</v>
      </c>
      <c r="G21" s="132">
        <f>F21/D21*100</f>
        <v>0.5848275596108545</v>
      </c>
    </row>
    <row r="22" spans="1:7" ht="15" customHeight="1">
      <c r="A22" s="135"/>
      <c r="B22" s="138" t="s">
        <v>169</v>
      </c>
      <c r="C22" s="137"/>
      <c r="D22" s="139">
        <v>22.13</v>
      </c>
      <c r="E22" s="132">
        <v>22.13</v>
      </c>
      <c r="F22" s="132"/>
      <c r="G22" s="132"/>
    </row>
    <row r="23" spans="1:7" ht="15" customHeight="1">
      <c r="A23" s="135"/>
      <c r="B23" s="138" t="s">
        <v>170</v>
      </c>
      <c r="C23" s="1"/>
      <c r="D23" s="139">
        <f>ROUND(2*D21-D22,2)</f>
        <v>22.57</v>
      </c>
      <c r="E23" s="132">
        <f>E21*2-E22</f>
        <v>22.831465441914087</v>
      </c>
      <c r="F23" s="132">
        <f>E23-D23</f>
        <v>0.26146544191408694</v>
      </c>
      <c r="G23" s="132">
        <f>F23/D23*100</f>
        <v>1.15846451889272</v>
      </c>
    </row>
    <row r="24" spans="1:7" ht="15" customHeight="1">
      <c r="A24" s="135"/>
      <c r="B24" s="140" t="s">
        <v>171</v>
      </c>
      <c r="C24" s="137"/>
      <c r="D24" s="139">
        <f>ROUND(D23/D22*100,2)</f>
        <v>101.99</v>
      </c>
      <c r="E24" s="132">
        <f>E23/E22*100</f>
        <v>103.16974894674237</v>
      </c>
      <c r="F24" s="132"/>
      <c r="G24" s="132"/>
    </row>
    <row r="25" s="141" customFormat="1" ht="12.75"/>
    <row r="27" spans="1:7" s="141" customFormat="1" ht="50.25" customHeight="1">
      <c r="A27" s="142" t="s">
        <v>172</v>
      </c>
      <c r="B27" s="142"/>
      <c r="C27" s="142"/>
      <c r="D27" s="143"/>
      <c r="E27" s="144"/>
      <c r="F27" s="145" t="s">
        <v>173</v>
      </c>
      <c r="G27" s="145"/>
    </row>
    <row r="28" spans="1:7" s="141" customFormat="1" ht="12.75">
      <c r="A28" s="146"/>
      <c r="B28" s="147"/>
      <c r="C28" s="146"/>
      <c r="D28" s="148"/>
      <c r="E28" s="148"/>
      <c r="F28" s="146"/>
      <c r="G28" s="146"/>
    </row>
    <row r="29" spans="1:7" s="141" customFormat="1" ht="47.25" customHeight="1">
      <c r="A29" s="142" t="s">
        <v>174</v>
      </c>
      <c r="B29" s="142"/>
      <c r="C29" s="142"/>
      <c r="D29" s="148"/>
      <c r="E29" s="148"/>
      <c r="F29" s="145" t="s">
        <v>175</v>
      </c>
      <c r="G29" s="145"/>
    </row>
    <row r="30" spans="1:7" s="141" customFormat="1" ht="12.75">
      <c r="A30" s="146"/>
      <c r="B30" s="147"/>
      <c r="C30" s="146"/>
      <c r="D30" s="148"/>
      <c r="E30" s="148"/>
      <c r="F30" s="146"/>
      <c r="G30" s="146"/>
    </row>
    <row r="31" spans="1:7" s="141" customFormat="1" ht="44.25" customHeight="1">
      <c r="A31" s="142" t="s">
        <v>176</v>
      </c>
      <c r="B31" s="142"/>
      <c r="C31" s="142"/>
      <c r="D31" s="148"/>
      <c r="E31" s="148"/>
      <c r="F31" s="145" t="s">
        <v>177</v>
      </c>
      <c r="G31" s="145"/>
    </row>
  </sheetData>
  <sheetProtection selectLockedCells="1" selectUnlockedCells="1"/>
  <mergeCells count="9">
    <mergeCell ref="A1:G1"/>
    <mergeCell ref="A2:G2"/>
    <mergeCell ref="A4:A5"/>
    <mergeCell ref="B4:B5"/>
    <mergeCell ref="C4:C5"/>
    <mergeCell ref="F4:G4"/>
    <mergeCell ref="A27:C27"/>
    <mergeCell ref="A29:C29"/>
    <mergeCell ref="A31:C3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90" zoomScaleSheetLayoutView="90" workbookViewId="0" topLeftCell="A1">
      <selection activeCell="J77" sqref="J77"/>
    </sheetView>
  </sheetViews>
  <sheetFormatPr defaultColWidth="9.00390625" defaultRowHeight="12.75"/>
  <cols>
    <col min="1" max="1" width="6.50390625" style="0" customWidth="1"/>
    <col min="2" max="2" width="48.125" style="0" customWidth="1"/>
    <col min="3" max="3" width="10.625" style="0" customWidth="1"/>
    <col min="4" max="5" width="13.00390625" style="0" customWidth="1"/>
    <col min="10" max="10" width="9.125" style="4" customWidth="1"/>
  </cols>
  <sheetData>
    <row r="1" spans="1:12" ht="15" customHeight="1">
      <c r="A1" s="149" t="s">
        <v>178</v>
      </c>
      <c r="B1" s="149"/>
      <c r="C1" s="149"/>
      <c r="D1" s="149"/>
      <c r="E1" s="149"/>
      <c r="F1" s="149"/>
      <c r="G1" s="149"/>
      <c r="H1" s="150"/>
      <c r="I1" s="150"/>
      <c r="J1" s="150"/>
      <c r="K1" s="150"/>
      <c r="L1" s="150"/>
    </row>
    <row r="2" spans="1:12" ht="12.75">
      <c r="A2" s="3" t="s">
        <v>139</v>
      </c>
      <c r="B2" s="3"/>
      <c r="C2" s="3"/>
      <c r="D2" s="3"/>
      <c r="E2" s="3"/>
      <c r="F2" s="3"/>
      <c r="G2" s="3"/>
      <c r="H2" s="70"/>
      <c r="I2" s="70"/>
      <c r="J2" s="70"/>
      <c r="K2" s="150"/>
      <c r="L2" s="150"/>
    </row>
    <row r="3" spans="1:12" ht="12.75">
      <c r="A3" s="127"/>
      <c r="B3" s="127"/>
      <c r="C3" s="127"/>
      <c r="D3" s="127"/>
      <c r="E3" s="127"/>
      <c r="F3" s="127"/>
      <c r="G3" s="127"/>
      <c r="H3" s="127"/>
      <c r="I3" s="127"/>
      <c r="K3" s="127"/>
      <c r="L3" s="127"/>
    </row>
    <row r="4" spans="1:7" s="153" customFormat="1" ht="13.5" customHeight="1">
      <c r="A4" s="151" t="s">
        <v>2</v>
      </c>
      <c r="B4" s="152" t="s">
        <v>140</v>
      </c>
      <c r="C4" s="151" t="s">
        <v>179</v>
      </c>
      <c r="D4" s="128" t="s">
        <v>142</v>
      </c>
      <c r="E4" s="128" t="s">
        <v>142</v>
      </c>
      <c r="F4" s="129" t="s">
        <v>143</v>
      </c>
      <c r="G4" s="129"/>
    </row>
    <row r="5" spans="1:7" s="153" customFormat="1" ht="42" customHeight="1">
      <c r="A5" s="151"/>
      <c r="B5" s="152"/>
      <c r="C5" s="151"/>
      <c r="D5" s="128" t="s">
        <v>8</v>
      </c>
      <c r="E5" s="128" t="s">
        <v>144</v>
      </c>
      <c r="F5" s="130" t="s">
        <v>145</v>
      </c>
      <c r="G5" s="130" t="s">
        <v>76</v>
      </c>
    </row>
    <row r="6" spans="1:9" s="1" customFormat="1" ht="12.75">
      <c r="A6" s="13">
        <v>1</v>
      </c>
      <c r="B6" s="154" t="s">
        <v>149</v>
      </c>
      <c r="C6" s="13" t="s">
        <v>148</v>
      </c>
      <c r="D6" s="132">
        <f>D7+D11+D17+D18+D21+D22+D23</f>
        <v>290.03</v>
      </c>
      <c r="E6" s="132">
        <f>E7+E11+E17+E18+E21+E22+E23</f>
        <v>288.61</v>
      </c>
      <c r="F6" s="132">
        <f aca="true" t="shared" si="0" ref="F6:F12">E6-D6</f>
        <v>-1.419999999999959</v>
      </c>
      <c r="G6" s="132">
        <f aca="true" t="shared" si="1" ref="G6:G12">F6/D6*100</f>
        <v>-0.48960452366995116</v>
      </c>
      <c r="H6" s="155"/>
      <c r="I6" s="155"/>
    </row>
    <row r="7" spans="1:9" s="134" customFormat="1" ht="12.75">
      <c r="A7" s="6" t="s">
        <v>11</v>
      </c>
      <c r="B7" s="31" t="s">
        <v>180</v>
      </c>
      <c r="C7" s="6" t="s">
        <v>148</v>
      </c>
      <c r="D7" s="156">
        <f>D8+D9+D10</f>
        <v>1.82</v>
      </c>
      <c r="E7" s="156">
        <f>E8+E9+E10</f>
        <v>1.82</v>
      </c>
      <c r="F7" s="156"/>
      <c r="G7" s="156"/>
      <c r="H7" s="157"/>
      <c r="I7" s="157"/>
    </row>
    <row r="8" spans="1:9" s="1" customFormat="1" ht="12.75">
      <c r="A8" s="6" t="s">
        <v>14</v>
      </c>
      <c r="B8" s="20" t="s">
        <v>181</v>
      </c>
      <c r="C8" s="6" t="s">
        <v>148</v>
      </c>
      <c r="D8" s="156">
        <f>'Сырье и мат-лы (расшифр.)'!D11</f>
        <v>1.82</v>
      </c>
      <c r="E8" s="156">
        <f>'Сырье и мат-лы (расшифр.)'!E11</f>
        <v>1.82</v>
      </c>
      <c r="F8" s="156"/>
      <c r="G8" s="156"/>
      <c r="H8" s="157"/>
      <c r="I8" s="157"/>
    </row>
    <row r="9" spans="1:9" s="1" customFormat="1" ht="12.75">
      <c r="A9" s="6" t="s">
        <v>16</v>
      </c>
      <c r="B9" s="21" t="s">
        <v>182</v>
      </c>
      <c r="C9" s="6" t="s">
        <v>148</v>
      </c>
      <c r="D9" s="156"/>
      <c r="E9" s="156"/>
      <c r="F9" s="156"/>
      <c r="G9" s="156"/>
      <c r="H9" s="157"/>
      <c r="I9" s="157"/>
    </row>
    <row r="10" spans="1:9" s="1" customFormat="1" ht="12.75">
      <c r="A10" s="6" t="s">
        <v>18</v>
      </c>
      <c r="B10" s="21" t="s">
        <v>183</v>
      </c>
      <c r="C10" s="6" t="s">
        <v>148</v>
      </c>
      <c r="D10" s="156"/>
      <c r="E10" s="156"/>
      <c r="F10" s="156"/>
      <c r="G10" s="156"/>
      <c r="H10" s="158"/>
      <c r="I10" s="158"/>
    </row>
    <row r="11" spans="1:9" s="1" customFormat="1" ht="12.75" customHeight="1">
      <c r="A11" s="6" t="s">
        <v>20</v>
      </c>
      <c r="B11" s="31" t="s">
        <v>184</v>
      </c>
      <c r="C11" s="6" t="s">
        <v>148</v>
      </c>
      <c r="D11" s="156">
        <f>D12+D13+D14+D15+D16</f>
        <v>195.46</v>
      </c>
      <c r="E11" s="156">
        <f>E12+E13+E14+E15+E16</f>
        <v>194.04</v>
      </c>
      <c r="F11" s="156">
        <f t="shared" si="0"/>
        <v>-1.420000000000016</v>
      </c>
      <c r="G11" s="156">
        <f t="shared" si="1"/>
        <v>-0.7264913537296714</v>
      </c>
      <c r="H11" s="157"/>
      <c r="I11" s="157"/>
    </row>
    <row r="12" spans="1:9" s="1" customFormat="1" ht="12.75">
      <c r="A12" s="6" t="s">
        <v>185</v>
      </c>
      <c r="B12" s="20" t="s">
        <v>186</v>
      </c>
      <c r="C12" s="6" t="s">
        <v>148</v>
      </c>
      <c r="D12" s="156">
        <f>ЭЭ!D20</f>
        <v>195.46</v>
      </c>
      <c r="E12" s="156">
        <f>ЭЭ!E20</f>
        <v>194.04</v>
      </c>
      <c r="F12" s="156">
        <f t="shared" si="0"/>
        <v>-1.420000000000016</v>
      </c>
      <c r="G12" s="156">
        <f t="shared" si="1"/>
        <v>-0.7264913537296714</v>
      </c>
      <c r="H12" s="157"/>
      <c r="I12" s="157"/>
    </row>
    <row r="13" spans="1:9" s="1" customFormat="1" ht="12.75">
      <c r="A13" s="6" t="s">
        <v>187</v>
      </c>
      <c r="B13" s="20" t="s">
        <v>188</v>
      </c>
      <c r="C13" s="6" t="s">
        <v>148</v>
      </c>
      <c r="D13" s="156"/>
      <c r="E13" s="156"/>
      <c r="F13" s="156"/>
      <c r="G13" s="156"/>
      <c r="H13" s="158"/>
      <c r="I13" s="158"/>
    </row>
    <row r="14" spans="1:9" s="1" customFormat="1" ht="12.75">
      <c r="A14" s="6" t="s">
        <v>189</v>
      </c>
      <c r="B14" s="20" t="s">
        <v>190</v>
      </c>
      <c r="C14" s="6" t="s">
        <v>148</v>
      </c>
      <c r="D14" s="156"/>
      <c r="E14" s="156"/>
      <c r="F14" s="156"/>
      <c r="G14" s="156"/>
      <c r="H14" s="158"/>
      <c r="I14" s="158"/>
    </row>
    <row r="15" spans="1:9" s="1" customFormat="1" ht="12.75">
      <c r="A15" s="6" t="s">
        <v>191</v>
      </c>
      <c r="B15" s="20" t="s">
        <v>192</v>
      </c>
      <c r="C15" s="6" t="s">
        <v>148</v>
      </c>
      <c r="D15" s="156"/>
      <c r="E15" s="156"/>
      <c r="F15" s="156"/>
      <c r="G15" s="156"/>
      <c r="H15" s="158"/>
      <c r="I15" s="158"/>
    </row>
    <row r="16" spans="1:9" s="1" customFormat="1" ht="12.75">
      <c r="A16" s="6" t="s">
        <v>193</v>
      </c>
      <c r="B16" s="20" t="s">
        <v>194</v>
      </c>
      <c r="C16" s="6" t="s">
        <v>148</v>
      </c>
      <c r="D16" s="156"/>
      <c r="E16" s="156"/>
      <c r="F16" s="156"/>
      <c r="G16" s="156"/>
      <c r="H16" s="158"/>
      <c r="I16" s="158"/>
    </row>
    <row r="17" spans="1:9" s="1" customFormat="1" ht="12.75">
      <c r="A17" s="6" t="s">
        <v>22</v>
      </c>
      <c r="B17" s="31" t="s">
        <v>195</v>
      </c>
      <c r="C17" s="6" t="s">
        <v>148</v>
      </c>
      <c r="D17" s="156"/>
      <c r="E17" s="156"/>
      <c r="F17" s="156"/>
      <c r="G17" s="156"/>
      <c r="H17" s="158"/>
      <c r="I17" s="158"/>
    </row>
    <row r="18" spans="1:9" s="1" customFormat="1" ht="12.75">
      <c r="A18" s="6" t="s">
        <v>24</v>
      </c>
      <c r="B18" s="31" t="s">
        <v>196</v>
      </c>
      <c r="C18" s="6" t="s">
        <v>148</v>
      </c>
      <c r="D18" s="156"/>
      <c r="E18" s="156"/>
      <c r="F18" s="156"/>
      <c r="G18" s="156"/>
      <c r="H18" s="157"/>
      <c r="I18" s="157"/>
    </row>
    <row r="19" spans="1:9" s="1" customFormat="1" ht="18" customHeight="1">
      <c r="A19" s="6" t="s">
        <v>197</v>
      </c>
      <c r="B19" s="21" t="s">
        <v>198</v>
      </c>
      <c r="C19" s="6" t="s">
        <v>148</v>
      </c>
      <c r="D19" s="156"/>
      <c r="E19" s="156"/>
      <c r="F19" s="156"/>
      <c r="G19" s="156"/>
      <c r="H19" s="157"/>
      <c r="I19" s="157"/>
    </row>
    <row r="20" spans="1:9" s="1" customFormat="1" ht="28.5" customHeight="1">
      <c r="A20" s="6" t="s">
        <v>199</v>
      </c>
      <c r="B20" s="21" t="s">
        <v>200</v>
      </c>
      <c r="C20" s="6" t="s">
        <v>148</v>
      </c>
      <c r="D20" s="156"/>
      <c r="E20" s="156"/>
      <c r="F20" s="156"/>
      <c r="G20" s="156"/>
      <c r="H20" s="157"/>
      <c r="I20" s="157"/>
    </row>
    <row r="21" spans="1:9" s="1" customFormat="1" ht="12.75">
      <c r="A21" s="6" t="s">
        <v>153</v>
      </c>
      <c r="B21" s="31" t="s">
        <v>201</v>
      </c>
      <c r="C21" s="6" t="s">
        <v>148</v>
      </c>
      <c r="D21" s="156"/>
      <c r="E21" s="156"/>
      <c r="F21" s="156"/>
      <c r="G21" s="156"/>
      <c r="H21" s="158"/>
      <c r="I21" s="158"/>
    </row>
    <row r="22" spans="1:9" s="1" customFormat="1" ht="12.75">
      <c r="A22" s="6" t="s">
        <v>155</v>
      </c>
      <c r="B22" s="31" t="s">
        <v>202</v>
      </c>
      <c r="C22" s="6" t="s">
        <v>148</v>
      </c>
      <c r="D22" s="156">
        <f>'Общехоз. и Админ. расх.'!C49</f>
        <v>24</v>
      </c>
      <c r="E22" s="156">
        <f>'Общехоз. и Админ. расх.'!D49</f>
        <v>24</v>
      </c>
      <c r="F22" s="156"/>
      <c r="G22" s="156"/>
      <c r="H22" s="157"/>
      <c r="I22" s="157"/>
    </row>
    <row r="23" spans="1:9" s="1" customFormat="1" ht="12.75">
      <c r="A23" s="6" t="s">
        <v>157</v>
      </c>
      <c r="B23" s="31" t="s">
        <v>203</v>
      </c>
      <c r="C23" s="6" t="s">
        <v>148</v>
      </c>
      <c r="D23" s="156">
        <f>D24+D25+D26+D27</f>
        <v>68.75</v>
      </c>
      <c r="E23" s="156">
        <f>E24+E25+E26+E27</f>
        <v>68.75</v>
      </c>
      <c r="F23" s="156"/>
      <c r="G23" s="156"/>
      <c r="H23" s="157"/>
      <c r="I23" s="157"/>
    </row>
    <row r="24" spans="1:9" s="1" customFormat="1" ht="12.75">
      <c r="A24" s="6" t="s">
        <v>204</v>
      </c>
      <c r="B24" s="21" t="s">
        <v>205</v>
      </c>
      <c r="C24" s="6" t="s">
        <v>148</v>
      </c>
      <c r="D24" s="156"/>
      <c r="E24" s="156"/>
      <c r="F24" s="156"/>
      <c r="G24" s="156"/>
      <c r="H24" s="158"/>
      <c r="I24" s="158"/>
    </row>
    <row r="25" spans="1:9" s="1" customFormat="1" ht="12.75">
      <c r="A25" s="6" t="s">
        <v>206</v>
      </c>
      <c r="B25" s="21" t="s">
        <v>207</v>
      </c>
      <c r="C25" s="6" t="s">
        <v>148</v>
      </c>
      <c r="D25" s="156"/>
      <c r="E25" s="156"/>
      <c r="F25" s="156"/>
      <c r="G25" s="156"/>
      <c r="H25" s="158"/>
      <c r="I25" s="158"/>
    </row>
    <row r="26" spans="1:9" s="1" customFormat="1" ht="12.75">
      <c r="A26" s="6" t="s">
        <v>208</v>
      </c>
      <c r="B26" s="21" t="s">
        <v>209</v>
      </c>
      <c r="C26" s="6" t="s">
        <v>148</v>
      </c>
      <c r="D26" s="159">
        <v>68.75</v>
      </c>
      <c r="E26" s="159">
        <v>68.75</v>
      </c>
      <c r="F26" s="160"/>
      <c r="G26" s="160"/>
      <c r="H26" s="161"/>
      <c r="I26" s="161"/>
    </row>
    <row r="27" spans="1:9" s="1" customFormat="1" ht="12.75">
      <c r="A27" s="6" t="s">
        <v>210</v>
      </c>
      <c r="B27" s="21" t="s">
        <v>211</v>
      </c>
      <c r="C27" s="6" t="s">
        <v>148</v>
      </c>
      <c r="D27" s="156"/>
      <c r="E27" s="156"/>
      <c r="F27" s="156"/>
      <c r="G27" s="156"/>
      <c r="H27" s="158"/>
      <c r="I27" s="158"/>
    </row>
    <row r="28" spans="1:9" s="1" customFormat="1" ht="12.75">
      <c r="A28" s="13">
        <v>2</v>
      </c>
      <c r="B28" s="162" t="s">
        <v>150</v>
      </c>
      <c r="C28" s="13" t="s">
        <v>148</v>
      </c>
      <c r="D28" s="163">
        <f>D29+D30+D31</f>
        <v>160.18</v>
      </c>
      <c r="E28" s="163">
        <f>E29+E30+E31</f>
        <v>151.18</v>
      </c>
      <c r="F28" s="163">
        <f>E28-D28</f>
        <v>-9</v>
      </c>
      <c r="G28" s="163">
        <f>F28/D28*100</f>
        <v>-5.6186789861405915</v>
      </c>
      <c r="H28" s="155"/>
      <c r="I28" s="155"/>
    </row>
    <row r="29" spans="1:9" s="1" customFormat="1" ht="12.75">
      <c r="A29" s="6" t="s">
        <v>27</v>
      </c>
      <c r="B29" s="31" t="s">
        <v>212</v>
      </c>
      <c r="C29" s="6" t="s">
        <v>148</v>
      </c>
      <c r="D29" s="156">
        <f>Ремонт!D12</f>
        <v>43</v>
      </c>
      <c r="E29" s="156">
        <v>34</v>
      </c>
      <c r="F29" s="156">
        <f>E29-D29</f>
        <v>-9</v>
      </c>
      <c r="G29" s="156">
        <f>F29/D29*100</f>
        <v>-20.930232558139537</v>
      </c>
      <c r="H29" s="158"/>
      <c r="I29" s="158"/>
    </row>
    <row r="30" spans="1:9" s="1" customFormat="1" ht="12.75">
      <c r="A30" s="6" t="s">
        <v>35</v>
      </c>
      <c r="B30" s="31" t="s">
        <v>213</v>
      </c>
      <c r="C30" s="6" t="s">
        <v>148</v>
      </c>
      <c r="D30" s="156"/>
      <c r="E30" s="156"/>
      <c r="F30" s="156"/>
      <c r="G30" s="156"/>
      <c r="H30" s="157"/>
      <c r="I30" s="157"/>
    </row>
    <row r="31" spans="1:9" s="1" customFormat="1" ht="33" customHeight="1">
      <c r="A31" s="6" t="s">
        <v>37</v>
      </c>
      <c r="B31" s="31" t="s">
        <v>214</v>
      </c>
      <c r="C31" s="6" t="s">
        <v>148</v>
      </c>
      <c r="D31" s="156">
        <f>D32+D33</f>
        <v>117.18</v>
      </c>
      <c r="E31" s="156">
        <f>E32+E33</f>
        <v>117.18</v>
      </c>
      <c r="F31" s="156"/>
      <c r="G31" s="156"/>
      <c r="H31" s="157"/>
      <c r="I31" s="157"/>
    </row>
    <row r="32" spans="1:9" s="1" customFormat="1" ht="12.75">
      <c r="A32" s="6" t="s">
        <v>215</v>
      </c>
      <c r="B32" s="21" t="s">
        <v>216</v>
      </c>
      <c r="C32" s="6" t="s">
        <v>148</v>
      </c>
      <c r="D32" s="164">
        <f>Ремонт!D10</f>
        <v>90</v>
      </c>
      <c r="E32" s="164">
        <f>Ремонт!E10</f>
        <v>90</v>
      </c>
      <c r="F32" s="164"/>
      <c r="G32" s="164"/>
      <c r="H32" s="165"/>
      <c r="I32" s="165"/>
    </row>
    <row r="33" spans="1:9" s="1" customFormat="1" ht="12.75">
      <c r="A33" s="6" t="s">
        <v>217</v>
      </c>
      <c r="B33" s="21" t="s">
        <v>218</v>
      </c>
      <c r="C33" s="6" t="s">
        <v>148</v>
      </c>
      <c r="D33" s="164">
        <f>Ремонт!D11</f>
        <v>27.18</v>
      </c>
      <c r="E33" s="164">
        <f>Ремонт!E11</f>
        <v>27.18</v>
      </c>
      <c r="F33" s="164"/>
      <c r="G33" s="164"/>
      <c r="H33" s="165"/>
      <c r="I33" s="165"/>
    </row>
    <row r="34" spans="1:9" s="1" customFormat="1" ht="12.75">
      <c r="A34" s="13">
        <v>3</v>
      </c>
      <c r="B34" s="166" t="s">
        <v>151</v>
      </c>
      <c r="C34" s="13" t="s">
        <v>148</v>
      </c>
      <c r="D34" s="163">
        <f>D35+D43+D46+D47+D48+D49+D50</f>
        <v>261.984</v>
      </c>
      <c r="E34" s="163">
        <f>E35+E43+E46+E47+E48+E49+E50</f>
        <v>261.984</v>
      </c>
      <c r="F34" s="163"/>
      <c r="G34" s="163"/>
      <c r="H34" s="155"/>
      <c r="I34" s="155"/>
    </row>
    <row r="35" spans="1:9" s="1" customFormat="1" ht="12.75">
      <c r="A35" s="6" t="s">
        <v>43</v>
      </c>
      <c r="B35" s="31" t="s">
        <v>219</v>
      </c>
      <c r="C35" s="6" t="s">
        <v>148</v>
      </c>
      <c r="D35" s="156">
        <f>D36+D37+D38+D39+D40+D41+D42</f>
        <v>12</v>
      </c>
      <c r="E35" s="156">
        <f>E36+E37+E38+E39+E40+E41+E42</f>
        <v>12</v>
      </c>
      <c r="F35" s="156"/>
      <c r="G35" s="156"/>
      <c r="H35" s="167"/>
      <c r="I35" s="167"/>
    </row>
    <row r="36" spans="1:9" s="1" customFormat="1" ht="12.75">
      <c r="A36" s="6" t="s">
        <v>45</v>
      </c>
      <c r="B36" s="20" t="s">
        <v>220</v>
      </c>
      <c r="C36" s="6" t="s">
        <v>148</v>
      </c>
      <c r="D36" s="156">
        <f>'Общехоз. и Админ. расх.'!C59</f>
        <v>12</v>
      </c>
      <c r="E36" s="156">
        <f>'Общехоз. и Админ. расх.'!D59</f>
        <v>12</v>
      </c>
      <c r="F36" s="156"/>
      <c r="G36" s="156"/>
      <c r="H36" s="167"/>
      <c r="I36" s="167"/>
    </row>
    <row r="37" spans="1:9" s="1" customFormat="1" ht="12.75">
      <c r="A37" s="6" t="s">
        <v>47</v>
      </c>
      <c r="B37" s="20" t="s">
        <v>221</v>
      </c>
      <c r="C37" s="6" t="s">
        <v>148</v>
      </c>
      <c r="D37" s="156"/>
      <c r="E37" s="156"/>
      <c r="F37" s="156"/>
      <c r="G37" s="156"/>
      <c r="H37" s="167"/>
      <c r="I37" s="167"/>
    </row>
    <row r="38" spans="1:9" s="1" customFormat="1" ht="12.75">
      <c r="A38" s="6" t="s">
        <v>222</v>
      </c>
      <c r="B38" s="20" t="s">
        <v>223</v>
      </c>
      <c r="C38" s="6" t="s">
        <v>148</v>
      </c>
      <c r="D38" s="156"/>
      <c r="E38" s="156"/>
      <c r="F38" s="156"/>
      <c r="G38" s="156"/>
      <c r="H38" s="167"/>
      <c r="I38" s="167"/>
    </row>
    <row r="39" spans="1:9" s="1" customFormat="1" ht="12.75">
      <c r="A39" s="6" t="s">
        <v>224</v>
      </c>
      <c r="B39" s="21" t="s">
        <v>225</v>
      </c>
      <c r="C39" s="6" t="s">
        <v>148</v>
      </c>
      <c r="D39" s="156"/>
      <c r="E39" s="156"/>
      <c r="F39" s="156"/>
      <c r="G39" s="156"/>
      <c r="H39" s="167"/>
      <c r="I39" s="167"/>
    </row>
    <row r="40" spans="1:9" s="1" customFormat="1" ht="12.75">
      <c r="A40" s="6" t="s">
        <v>226</v>
      </c>
      <c r="B40" s="21" t="s">
        <v>227</v>
      </c>
      <c r="C40" s="6" t="s">
        <v>148</v>
      </c>
      <c r="D40" s="156"/>
      <c r="E40" s="156"/>
      <c r="F40" s="156"/>
      <c r="G40" s="156"/>
      <c r="H40" s="167"/>
      <c r="I40" s="167"/>
    </row>
    <row r="41" spans="1:9" s="1" customFormat="1" ht="12.75">
      <c r="A41" s="6" t="s">
        <v>228</v>
      </c>
      <c r="B41" s="20" t="s">
        <v>229</v>
      </c>
      <c r="C41" s="6" t="s">
        <v>148</v>
      </c>
      <c r="D41" s="156"/>
      <c r="E41" s="156"/>
      <c r="F41" s="156"/>
      <c r="G41" s="156"/>
      <c r="H41" s="167"/>
      <c r="I41" s="167"/>
    </row>
    <row r="42" spans="1:9" s="1" customFormat="1" ht="12.75">
      <c r="A42" s="6" t="s">
        <v>230</v>
      </c>
      <c r="B42" s="20" t="s">
        <v>231</v>
      </c>
      <c r="C42" s="6"/>
      <c r="D42" s="156"/>
      <c r="E42" s="156"/>
      <c r="F42" s="156"/>
      <c r="G42" s="156"/>
      <c r="H42" s="167"/>
      <c r="I42" s="167"/>
    </row>
    <row r="43" spans="1:9" s="1" customFormat="1" ht="12.75">
      <c r="A43" s="6" t="s">
        <v>49</v>
      </c>
      <c r="B43" s="31" t="s">
        <v>232</v>
      </c>
      <c r="C43" s="6" t="s">
        <v>148</v>
      </c>
      <c r="D43" s="156">
        <f>D44+D45</f>
        <v>249.98399999999998</v>
      </c>
      <c r="E43" s="156">
        <f>E44+E45</f>
        <v>249.98399999999998</v>
      </c>
      <c r="F43" s="156"/>
      <c r="G43" s="156"/>
      <c r="H43" s="157"/>
      <c r="I43" s="157"/>
    </row>
    <row r="44" spans="1:9" s="1" customFormat="1" ht="12.75">
      <c r="A44" s="6" t="s">
        <v>51</v>
      </c>
      <c r="B44" s="21" t="s">
        <v>233</v>
      </c>
      <c r="C44" s="6" t="s">
        <v>148</v>
      </c>
      <c r="D44" s="156">
        <f>'Общехоз. и Админ. расх.'!C68</f>
        <v>192</v>
      </c>
      <c r="E44" s="156">
        <f>'Общехоз. и Админ. расх.'!D68</f>
        <v>192</v>
      </c>
      <c r="F44" s="156"/>
      <c r="G44" s="156"/>
      <c r="H44" s="157"/>
      <c r="I44" s="157"/>
    </row>
    <row r="45" spans="1:9" s="1" customFormat="1" ht="24.75" customHeight="1">
      <c r="A45" s="6" t="s">
        <v>53</v>
      </c>
      <c r="B45" s="21" t="s">
        <v>234</v>
      </c>
      <c r="C45" s="6" t="s">
        <v>148</v>
      </c>
      <c r="D45" s="156">
        <f>'Общехоз. и Админ. расх.'!C69</f>
        <v>57.983999999999995</v>
      </c>
      <c r="E45" s="156">
        <f>'Общехоз. и Админ. расх.'!D69</f>
        <v>57.983999999999995</v>
      </c>
      <c r="F45" s="156"/>
      <c r="G45" s="156"/>
      <c r="H45" s="157"/>
      <c r="I45" s="157"/>
    </row>
    <row r="46" spans="1:9" s="1" customFormat="1" ht="12.75">
      <c r="A46" s="6" t="s">
        <v>235</v>
      </c>
      <c r="B46" s="31" t="s">
        <v>236</v>
      </c>
      <c r="C46" s="6" t="s">
        <v>148</v>
      </c>
      <c r="D46" s="156"/>
      <c r="E46" s="156"/>
      <c r="F46" s="156"/>
      <c r="G46" s="156"/>
      <c r="H46" s="167"/>
      <c r="I46" s="167"/>
    </row>
    <row r="47" spans="1:9" s="1" customFormat="1" ht="12.75">
      <c r="A47" s="6" t="s">
        <v>237</v>
      </c>
      <c r="B47" s="17" t="s">
        <v>238</v>
      </c>
      <c r="C47" s="6" t="s">
        <v>148</v>
      </c>
      <c r="D47" s="156"/>
      <c r="E47" s="156"/>
      <c r="F47" s="156"/>
      <c r="G47" s="156"/>
      <c r="H47" s="167"/>
      <c r="I47" s="167"/>
    </row>
    <row r="48" spans="1:9" s="1" customFormat="1" ht="12.75">
      <c r="A48" s="6" t="s">
        <v>239</v>
      </c>
      <c r="B48" s="17" t="s">
        <v>240</v>
      </c>
      <c r="C48" s="6" t="s">
        <v>148</v>
      </c>
      <c r="D48" s="156"/>
      <c r="E48" s="156"/>
      <c r="F48" s="156"/>
      <c r="G48" s="156"/>
      <c r="H48" s="167"/>
      <c r="I48" s="167"/>
    </row>
    <row r="49" spans="1:9" s="1" customFormat="1" ht="12.75">
      <c r="A49" s="6" t="s">
        <v>241</v>
      </c>
      <c r="B49" s="31" t="s">
        <v>242</v>
      </c>
      <c r="C49" s="6" t="s">
        <v>148</v>
      </c>
      <c r="D49" s="156"/>
      <c r="E49" s="156"/>
      <c r="F49" s="156"/>
      <c r="G49" s="156"/>
      <c r="H49" s="167"/>
      <c r="I49" s="167"/>
    </row>
    <row r="50" spans="1:9" s="1" customFormat="1" ht="12.75">
      <c r="A50" s="6" t="s">
        <v>243</v>
      </c>
      <c r="B50" s="31" t="s">
        <v>244</v>
      </c>
      <c r="C50" s="6" t="s">
        <v>148</v>
      </c>
      <c r="D50" s="156"/>
      <c r="E50" s="156"/>
      <c r="F50" s="156"/>
      <c r="G50" s="156"/>
      <c r="H50" s="167"/>
      <c r="I50" s="167"/>
    </row>
    <row r="51" spans="1:9" s="1" customFormat="1" ht="15" customHeight="1">
      <c r="A51" s="6" t="s">
        <v>245</v>
      </c>
      <c r="B51" s="21" t="s">
        <v>246</v>
      </c>
      <c r="C51" s="6" t="s">
        <v>148</v>
      </c>
      <c r="D51" s="156"/>
      <c r="E51" s="156"/>
      <c r="F51" s="156"/>
      <c r="G51" s="156"/>
      <c r="H51" s="167"/>
      <c r="I51" s="167"/>
    </row>
    <row r="52" spans="1:9" s="1" customFormat="1" ht="12.75">
      <c r="A52" s="6" t="s">
        <v>247</v>
      </c>
      <c r="B52" s="21" t="s">
        <v>248</v>
      </c>
      <c r="C52" s="6" t="s">
        <v>148</v>
      </c>
      <c r="D52" s="156"/>
      <c r="E52" s="156"/>
      <c r="F52" s="156"/>
      <c r="G52" s="156"/>
      <c r="H52" s="167"/>
      <c r="I52" s="167"/>
    </row>
    <row r="53" spans="1:9" s="1" customFormat="1" ht="12.75">
      <c r="A53" s="13">
        <v>4</v>
      </c>
      <c r="B53" s="154" t="s">
        <v>249</v>
      </c>
      <c r="C53" s="13" t="s">
        <v>148</v>
      </c>
      <c r="D53" s="156"/>
      <c r="E53" s="156"/>
      <c r="F53" s="156"/>
      <c r="G53" s="156"/>
      <c r="H53" s="158"/>
      <c r="I53" s="158"/>
    </row>
    <row r="54" spans="1:9" s="1" customFormat="1" ht="12.75">
      <c r="A54" s="6" t="s">
        <v>250</v>
      </c>
      <c r="B54" s="31" t="s">
        <v>251</v>
      </c>
      <c r="C54" s="6" t="s">
        <v>148</v>
      </c>
      <c r="D54" s="156"/>
      <c r="E54" s="156"/>
      <c r="F54" s="156"/>
      <c r="G54" s="156"/>
      <c r="H54" s="158"/>
      <c r="I54" s="158"/>
    </row>
    <row r="55" spans="1:9" s="1" customFormat="1" ht="12.75">
      <c r="A55" s="13">
        <v>5</v>
      </c>
      <c r="B55" s="162" t="s">
        <v>154</v>
      </c>
      <c r="C55" s="13" t="s">
        <v>148</v>
      </c>
      <c r="D55" s="156"/>
      <c r="E55" s="156"/>
      <c r="F55" s="156"/>
      <c r="G55" s="156"/>
      <c r="H55" s="158"/>
      <c r="I55" s="158"/>
    </row>
    <row r="56" spans="1:9" s="1" customFormat="1" ht="12.75">
      <c r="A56" s="6" t="s">
        <v>252</v>
      </c>
      <c r="B56" s="31" t="s">
        <v>253</v>
      </c>
      <c r="C56" s="6" t="s">
        <v>148</v>
      </c>
      <c r="D56" s="156"/>
      <c r="E56" s="156"/>
      <c r="F56" s="156"/>
      <c r="G56" s="156"/>
      <c r="H56" s="158"/>
      <c r="I56" s="158"/>
    </row>
    <row r="57" spans="1:9" s="1" customFormat="1" ht="12.75">
      <c r="A57" s="13">
        <v>6</v>
      </c>
      <c r="B57" s="154" t="s">
        <v>254</v>
      </c>
      <c r="C57" s="13" t="s">
        <v>148</v>
      </c>
      <c r="D57" s="156"/>
      <c r="E57" s="156"/>
      <c r="F57" s="156"/>
      <c r="G57" s="156"/>
      <c r="H57" s="158"/>
      <c r="I57" s="158"/>
    </row>
    <row r="58" spans="1:9" s="1" customFormat="1" ht="12.75">
      <c r="A58" s="6" t="s">
        <v>68</v>
      </c>
      <c r="B58" s="17" t="s">
        <v>255</v>
      </c>
      <c r="C58" s="6" t="s">
        <v>148</v>
      </c>
      <c r="D58" s="156"/>
      <c r="E58" s="156"/>
      <c r="F58" s="156"/>
      <c r="G58" s="156"/>
      <c r="H58" s="158"/>
      <c r="I58" s="158"/>
    </row>
    <row r="59" spans="1:9" s="1" customFormat="1" ht="12.75">
      <c r="A59" s="6" t="s">
        <v>70</v>
      </c>
      <c r="B59" s="17" t="s">
        <v>256</v>
      </c>
      <c r="C59" s="6" t="s">
        <v>148</v>
      </c>
      <c r="D59" s="156"/>
      <c r="E59" s="156"/>
      <c r="F59" s="156"/>
      <c r="G59" s="156"/>
      <c r="H59" s="158"/>
      <c r="I59" s="158"/>
    </row>
    <row r="60" spans="1:9" s="1" customFormat="1" ht="12.75">
      <c r="A60" s="6" t="s">
        <v>257</v>
      </c>
      <c r="B60" s="17" t="s">
        <v>258</v>
      </c>
      <c r="C60" s="6" t="s">
        <v>148</v>
      </c>
      <c r="D60" s="156"/>
      <c r="E60" s="156"/>
      <c r="F60" s="156"/>
      <c r="G60" s="156"/>
      <c r="H60" s="158"/>
      <c r="I60" s="158"/>
    </row>
    <row r="61" spans="1:9" s="1" customFormat="1" ht="12.75">
      <c r="A61" s="6" t="s">
        <v>259</v>
      </c>
      <c r="B61" s="17" t="s">
        <v>260</v>
      </c>
      <c r="C61" s="6" t="s">
        <v>148</v>
      </c>
      <c r="D61" s="156"/>
      <c r="E61" s="156"/>
      <c r="F61" s="156"/>
      <c r="G61" s="156"/>
      <c r="H61" s="158"/>
      <c r="I61" s="158"/>
    </row>
    <row r="62" spans="1:9" s="1" customFormat="1" ht="12.75">
      <c r="A62" s="13">
        <v>7</v>
      </c>
      <c r="B62" s="154" t="s">
        <v>261</v>
      </c>
      <c r="C62" s="13" t="s">
        <v>148</v>
      </c>
      <c r="D62" s="163">
        <f>D63+D64+D65+D66+D67+D68+D69</f>
        <v>14.54741414141414</v>
      </c>
      <c r="E62" s="163">
        <f>E63+E64+E65+E66+E67+E68+E69</f>
        <v>29.209505154639174</v>
      </c>
      <c r="F62" s="163">
        <f>E62-D62</f>
        <v>14.662091013225034</v>
      </c>
      <c r="G62" s="163">
        <f>F62/D62*100</f>
        <v>100.78829729253687</v>
      </c>
      <c r="H62" s="155"/>
      <c r="I62" s="155"/>
    </row>
    <row r="63" spans="1:9" s="1" customFormat="1" ht="12.75">
      <c r="A63" s="6" t="s">
        <v>262</v>
      </c>
      <c r="B63" s="17" t="s">
        <v>263</v>
      </c>
      <c r="C63" s="6" t="s">
        <v>148</v>
      </c>
      <c r="D63" s="156"/>
      <c r="E63" s="156"/>
      <c r="F63" s="156"/>
      <c r="G63" s="156"/>
      <c r="H63" s="158"/>
      <c r="I63" s="158"/>
    </row>
    <row r="64" spans="1:9" s="1" customFormat="1" ht="12.75">
      <c r="A64" s="6" t="s">
        <v>264</v>
      </c>
      <c r="B64" s="31" t="s">
        <v>265</v>
      </c>
      <c r="C64" s="6" t="s">
        <v>148</v>
      </c>
      <c r="D64" s="156"/>
      <c r="E64" s="156"/>
      <c r="F64" s="156"/>
      <c r="G64" s="156"/>
      <c r="H64" s="158"/>
      <c r="I64" s="158"/>
    </row>
    <row r="65" spans="1:9" s="1" customFormat="1" ht="12.75">
      <c r="A65" s="6" t="s">
        <v>266</v>
      </c>
      <c r="B65" s="31" t="s">
        <v>267</v>
      </c>
      <c r="C65" s="6" t="s">
        <v>148</v>
      </c>
      <c r="D65" s="156"/>
      <c r="E65" s="156"/>
      <c r="F65" s="156"/>
      <c r="G65" s="156"/>
      <c r="H65" s="158"/>
      <c r="I65" s="158"/>
    </row>
    <row r="66" spans="1:9" s="1" customFormat="1" ht="15" customHeight="1">
      <c r="A66" s="6" t="s">
        <v>268</v>
      </c>
      <c r="B66" s="31" t="s">
        <v>269</v>
      </c>
      <c r="C66" s="6" t="s">
        <v>148</v>
      </c>
      <c r="D66" s="156">
        <f>'Водный налог'!C14</f>
        <v>7.28</v>
      </c>
      <c r="E66" s="156">
        <f>'Водный налог'!D14</f>
        <v>7.28</v>
      </c>
      <c r="F66" s="156"/>
      <c r="G66" s="156"/>
      <c r="H66" s="168"/>
      <c r="I66" s="168"/>
    </row>
    <row r="67" spans="1:9" s="1" customFormat="1" ht="12.75">
      <c r="A67" s="6" t="s">
        <v>270</v>
      </c>
      <c r="B67" s="17" t="s">
        <v>271</v>
      </c>
      <c r="C67" s="6" t="s">
        <v>148</v>
      </c>
      <c r="D67" s="156"/>
      <c r="E67" s="156"/>
      <c r="F67" s="156"/>
      <c r="G67" s="156"/>
      <c r="H67" s="158"/>
      <c r="I67" s="158"/>
    </row>
    <row r="68" spans="1:9" s="1" customFormat="1" ht="12.75">
      <c r="A68" s="6" t="s">
        <v>272</v>
      </c>
      <c r="B68" s="17" t="s">
        <v>273</v>
      </c>
      <c r="C68" s="6" t="s">
        <v>148</v>
      </c>
      <c r="D68" s="156"/>
      <c r="E68" s="156"/>
      <c r="F68" s="156"/>
      <c r="G68" s="156"/>
      <c r="H68" s="158"/>
      <c r="I68" s="158"/>
    </row>
    <row r="69" spans="1:9" s="1" customFormat="1" ht="12.75">
      <c r="A69" s="6" t="s">
        <v>274</v>
      </c>
      <c r="B69" s="31" t="s">
        <v>275</v>
      </c>
      <c r="C69" s="6" t="s">
        <v>148</v>
      </c>
      <c r="D69" s="156">
        <f>(D6+D28+D34+D53+D55+D57+D63+D64+D65+D66+D67+D68+D70)*0.01/(1-0.01)</f>
        <v>7.267414141414141</v>
      </c>
      <c r="E69" s="156">
        <f>(E6+E28+E34+E53+E55+E57+E63+E64+E65+E66+E67+E68+E70)*0.06/(2-0.06)</f>
        <v>21.929505154639173</v>
      </c>
      <c r="F69" s="156">
        <f>E69-D69</f>
        <v>14.662091013225032</v>
      </c>
      <c r="G69" s="156">
        <f>F69/D69*100</f>
        <v>201.75114184936191</v>
      </c>
      <c r="H69" s="169"/>
      <c r="I69" s="169"/>
    </row>
    <row r="70" spans="1:9" s="1" customFormat="1" ht="12.75">
      <c r="A70" s="13">
        <v>8</v>
      </c>
      <c r="B70" s="162" t="s">
        <v>160</v>
      </c>
      <c r="C70" s="13" t="s">
        <v>148</v>
      </c>
      <c r="D70" s="163"/>
      <c r="E70" s="163"/>
      <c r="F70" s="163"/>
      <c r="G70" s="163"/>
      <c r="H70" s="155"/>
      <c r="I70" s="155"/>
    </row>
    <row r="71" spans="1:9" s="1" customFormat="1" ht="12.75">
      <c r="A71" s="6" t="s">
        <v>276</v>
      </c>
      <c r="B71" s="31" t="s">
        <v>277</v>
      </c>
      <c r="C71" s="6" t="s">
        <v>148</v>
      </c>
      <c r="D71" s="156"/>
      <c r="E71" s="156"/>
      <c r="F71" s="156"/>
      <c r="G71" s="156"/>
      <c r="H71" s="158"/>
      <c r="I71" s="158"/>
    </row>
    <row r="72" spans="1:9" s="1" customFormat="1" ht="12.75">
      <c r="A72" s="6" t="s">
        <v>278</v>
      </c>
      <c r="B72" s="31" t="s">
        <v>279</v>
      </c>
      <c r="C72" s="6" t="s">
        <v>148</v>
      </c>
      <c r="D72" s="156"/>
      <c r="E72" s="156"/>
      <c r="F72" s="156"/>
      <c r="G72" s="156"/>
      <c r="H72" s="158"/>
      <c r="I72" s="158"/>
    </row>
    <row r="73" spans="1:9" s="1" customFormat="1" ht="12.75">
      <c r="A73" s="6" t="s">
        <v>280</v>
      </c>
      <c r="B73" s="31" t="s">
        <v>281</v>
      </c>
      <c r="C73" s="6" t="s">
        <v>148</v>
      </c>
      <c r="D73" s="156"/>
      <c r="E73" s="156"/>
      <c r="F73" s="156"/>
      <c r="G73" s="156"/>
      <c r="H73" s="158"/>
      <c r="I73" s="158"/>
    </row>
    <row r="74" spans="1:9" s="1" customFormat="1" ht="12.75">
      <c r="A74" s="6" t="s">
        <v>282</v>
      </c>
      <c r="B74" s="31" t="s">
        <v>283</v>
      </c>
      <c r="C74" s="6" t="s">
        <v>148</v>
      </c>
      <c r="D74" s="156"/>
      <c r="E74" s="156"/>
      <c r="F74" s="156"/>
      <c r="G74" s="156"/>
      <c r="H74" s="158"/>
      <c r="I74" s="158"/>
    </row>
    <row r="75" spans="1:9" s="1" customFormat="1" ht="12.75">
      <c r="A75" s="6" t="s">
        <v>284</v>
      </c>
      <c r="B75" s="31" t="s">
        <v>285</v>
      </c>
      <c r="C75" s="6"/>
      <c r="D75" s="156"/>
      <c r="E75" s="156"/>
      <c r="F75" s="156"/>
      <c r="G75" s="156"/>
      <c r="H75" s="157"/>
      <c r="I75" s="157"/>
    </row>
    <row r="76" spans="1:11" s="1" customFormat="1" ht="12.75">
      <c r="A76" s="13">
        <v>9</v>
      </c>
      <c r="B76" s="162" t="s">
        <v>165</v>
      </c>
      <c r="C76" s="13" t="s">
        <v>148</v>
      </c>
      <c r="D76" s="163">
        <f>D6+D28+D34+D53+D55+D57+D62+D70</f>
        <v>726.7414141414141</v>
      </c>
      <c r="E76" s="163">
        <f>E6+E28+E34+E53+E55+E57+E62+E70</f>
        <v>730.9835051546391</v>
      </c>
      <c r="F76" s="163">
        <f>E76-D76</f>
        <v>4.242091013225036</v>
      </c>
      <c r="G76" s="163">
        <f>F76/D76*100</f>
        <v>0.5837139497873148</v>
      </c>
      <c r="H76" s="155"/>
      <c r="I76" s="155"/>
      <c r="J76" s="4"/>
      <c r="K76"/>
    </row>
    <row r="77" spans="1:7" s="141" customFormat="1" ht="50.25" customHeight="1">
      <c r="A77" s="142" t="s">
        <v>172</v>
      </c>
      <c r="B77" s="142"/>
      <c r="C77" s="142"/>
      <c r="D77" s="143"/>
      <c r="E77" s="144"/>
      <c r="F77" s="145" t="s">
        <v>173</v>
      </c>
      <c r="G77" s="145"/>
    </row>
    <row r="78" spans="1:7" s="141" customFormat="1" ht="12.75">
      <c r="A78" s="146"/>
      <c r="B78" s="147"/>
      <c r="C78" s="146"/>
      <c r="D78" s="148"/>
      <c r="E78" s="148"/>
      <c r="F78" s="146"/>
      <c r="G78" s="146"/>
    </row>
    <row r="79" spans="1:7" s="141" customFormat="1" ht="47.25" customHeight="1">
      <c r="A79" s="142" t="s">
        <v>286</v>
      </c>
      <c r="B79" s="142"/>
      <c r="C79" s="142"/>
      <c r="D79" s="148"/>
      <c r="E79" s="148"/>
      <c r="F79" s="145" t="s">
        <v>175</v>
      </c>
      <c r="G79" s="145"/>
    </row>
    <row r="80" spans="1:7" s="141" customFormat="1" ht="12.75">
      <c r="A80" s="146"/>
      <c r="B80" s="147"/>
      <c r="C80" s="146"/>
      <c r="D80" s="148"/>
      <c r="E80" s="148"/>
      <c r="F80" s="146"/>
      <c r="G80" s="146"/>
    </row>
    <row r="81" spans="1:10" s="141" customFormat="1" ht="50.25" customHeight="1">
      <c r="A81" s="142" t="s">
        <v>176</v>
      </c>
      <c r="B81" s="142"/>
      <c r="C81" s="142"/>
      <c r="D81" s="148"/>
      <c r="E81" s="148"/>
      <c r="F81" s="145" t="s">
        <v>177</v>
      </c>
      <c r="G81" s="145"/>
      <c r="J81" s="170"/>
    </row>
  </sheetData>
  <sheetProtection selectLockedCells="1" selectUnlockedCells="1"/>
  <mergeCells count="9">
    <mergeCell ref="A1:G1"/>
    <mergeCell ref="A2:G2"/>
    <mergeCell ref="A4:A5"/>
    <mergeCell ref="B4:B5"/>
    <mergeCell ref="C4:C5"/>
    <mergeCell ref="F4:G4"/>
    <mergeCell ref="A77:C77"/>
    <mergeCell ref="A79:C79"/>
    <mergeCell ref="A81:C81"/>
  </mergeCells>
  <printOptions/>
  <pageMargins left="0.7083333333333334" right="0.31527777777777777" top="0.5513888888888889" bottom="0.5513888888888889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90" zoomScaleSheetLayoutView="90" workbookViewId="0" topLeftCell="A4">
      <selection activeCell="I20" sqref="I20"/>
    </sheetView>
  </sheetViews>
  <sheetFormatPr defaultColWidth="9.00390625" defaultRowHeight="12.75"/>
  <cols>
    <col min="1" max="1" width="8.375" style="0" customWidth="1"/>
    <col min="2" max="2" width="34.875" style="0" customWidth="1"/>
    <col min="3" max="3" width="10.125" style="0" customWidth="1"/>
    <col min="4" max="4" width="26.375" style="0" customWidth="1"/>
    <col min="5" max="5" width="11.625" style="0" customWidth="1"/>
    <col min="8" max="8" width="11.50390625" style="0" customWidth="1"/>
  </cols>
  <sheetData>
    <row r="1" spans="2:8" ht="12.75">
      <c r="B1" s="171"/>
      <c r="C1" s="172" t="s">
        <v>287</v>
      </c>
      <c r="D1" s="171"/>
      <c r="F1" s="171"/>
      <c r="G1" s="171"/>
      <c r="H1" s="171"/>
    </row>
    <row r="2" spans="1:8" ht="12.75">
      <c r="A2" s="43" t="s">
        <v>78</v>
      </c>
      <c r="B2" s="43"/>
      <c r="C2" s="43"/>
      <c r="D2" s="173">
        <f>'Смета расх.'!D2</f>
        <v>0</v>
      </c>
      <c r="E2" s="173"/>
      <c r="F2" s="171"/>
      <c r="G2" s="171"/>
      <c r="H2" s="171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5" ht="30.75" customHeight="1">
      <c r="A4" s="128" t="s">
        <v>288</v>
      </c>
      <c r="B4" s="175" t="s">
        <v>140</v>
      </c>
      <c r="C4" s="128" t="s">
        <v>179</v>
      </c>
      <c r="D4" s="128" t="s">
        <v>142</v>
      </c>
      <c r="E4" s="5" t="s">
        <v>4</v>
      </c>
    </row>
    <row r="5" spans="1:5" ht="12.75">
      <c r="A5" s="128"/>
      <c r="B5" s="128"/>
      <c r="C5" s="128"/>
      <c r="D5" s="128"/>
      <c r="E5" s="5"/>
    </row>
    <row r="6" spans="1:5" ht="12.75">
      <c r="A6" s="175">
        <v>1</v>
      </c>
      <c r="B6" s="175">
        <v>2</v>
      </c>
      <c r="C6" s="175">
        <v>3</v>
      </c>
      <c r="D6" s="175">
        <v>4</v>
      </c>
      <c r="E6" s="175">
        <v>5</v>
      </c>
    </row>
    <row r="7" spans="1:5" ht="12.75">
      <c r="A7" s="176">
        <v>1</v>
      </c>
      <c r="B7" s="177" t="s">
        <v>181</v>
      </c>
      <c r="C7" s="176"/>
      <c r="D7" s="178"/>
      <c r="E7" s="178"/>
    </row>
    <row r="8" spans="1:5" ht="12.75">
      <c r="A8" s="176" t="s">
        <v>11</v>
      </c>
      <c r="B8" s="179" t="s">
        <v>289</v>
      </c>
      <c r="C8" s="176"/>
      <c r="D8" s="178"/>
      <c r="E8" s="178"/>
    </row>
    <row r="9" spans="1:5" ht="12.75">
      <c r="A9" s="175" t="s">
        <v>14</v>
      </c>
      <c r="B9" s="180" t="s">
        <v>290</v>
      </c>
      <c r="C9" s="175" t="s">
        <v>291</v>
      </c>
      <c r="D9" s="156">
        <f>ROUND(Реагенты!D11,1)</f>
        <v>113.8</v>
      </c>
      <c r="E9" s="156">
        <v>113.8</v>
      </c>
    </row>
    <row r="10" spans="1:5" ht="12.75">
      <c r="A10" s="175" t="s">
        <v>16</v>
      </c>
      <c r="B10" s="180" t="s">
        <v>292</v>
      </c>
      <c r="C10" s="175" t="s">
        <v>293</v>
      </c>
      <c r="D10" s="156">
        <v>16</v>
      </c>
      <c r="E10" s="156">
        <v>16</v>
      </c>
    </row>
    <row r="11" spans="1:5" ht="12.75">
      <c r="A11" s="181" t="s">
        <v>18</v>
      </c>
      <c r="B11" s="182" t="s">
        <v>294</v>
      </c>
      <c r="C11" s="181" t="s">
        <v>148</v>
      </c>
      <c r="D11" s="183">
        <f>ROUND(D9*D10/1000,2)</f>
        <v>1.82</v>
      </c>
      <c r="E11" s="183">
        <f>ROUND(E9*E10/1000,2)</f>
        <v>1.82</v>
      </c>
    </row>
    <row r="12" spans="1:5" ht="60.75" customHeight="1">
      <c r="A12" s="176">
        <v>2</v>
      </c>
      <c r="B12" s="184" t="s">
        <v>295</v>
      </c>
      <c r="C12" s="175"/>
      <c r="D12" s="178"/>
      <c r="E12" s="178"/>
    </row>
    <row r="13" spans="1:5" ht="12.75">
      <c r="A13" s="176" t="s">
        <v>27</v>
      </c>
      <c r="B13" s="179" t="s">
        <v>296</v>
      </c>
      <c r="C13" s="176"/>
      <c r="D13" s="178"/>
      <c r="E13" s="178"/>
    </row>
    <row r="14" spans="1:5" ht="12.75">
      <c r="A14" s="175" t="s">
        <v>29</v>
      </c>
      <c r="B14" s="180" t="s">
        <v>290</v>
      </c>
      <c r="C14" s="175" t="s">
        <v>297</v>
      </c>
      <c r="D14" s="178"/>
      <c r="E14" s="178"/>
    </row>
    <row r="15" spans="1:5" ht="12.75">
      <c r="A15" s="175" t="s">
        <v>31</v>
      </c>
      <c r="B15" s="180" t="s">
        <v>292</v>
      </c>
      <c r="C15" s="175" t="s">
        <v>293</v>
      </c>
      <c r="D15" s="156"/>
      <c r="E15" s="156"/>
    </row>
    <row r="16" spans="1:5" s="141" customFormat="1" ht="12.75">
      <c r="A16" s="178" t="s">
        <v>33</v>
      </c>
      <c r="B16" s="185" t="s">
        <v>294</v>
      </c>
      <c r="C16" s="178" t="s">
        <v>148</v>
      </c>
      <c r="D16" s="156">
        <f>D14*D15/1000</f>
        <v>0</v>
      </c>
      <c r="E16" s="156">
        <f>E14*E15/1000</f>
        <v>0</v>
      </c>
    </row>
    <row r="17" spans="1:5" ht="12.75">
      <c r="A17" s="176"/>
      <c r="B17" s="179" t="s">
        <v>298</v>
      </c>
      <c r="C17" s="176"/>
      <c r="D17" s="178"/>
      <c r="E17" s="178"/>
    </row>
    <row r="18" spans="1:5" ht="12.75">
      <c r="A18" s="175"/>
      <c r="B18" s="180" t="s">
        <v>290</v>
      </c>
      <c r="C18" s="175" t="s">
        <v>297</v>
      </c>
      <c r="D18" s="178"/>
      <c r="E18" s="178"/>
    </row>
    <row r="19" spans="1:5" ht="12.75">
      <c r="A19" s="175"/>
      <c r="B19" s="180" t="s">
        <v>292</v>
      </c>
      <c r="C19" s="175" t="s">
        <v>293</v>
      </c>
      <c r="D19" s="178"/>
      <c r="E19" s="178"/>
    </row>
    <row r="20" spans="1:5" ht="12.75">
      <c r="A20" s="175"/>
      <c r="B20" s="185" t="s">
        <v>294</v>
      </c>
      <c r="C20" s="178" t="s">
        <v>148</v>
      </c>
      <c r="D20" s="178"/>
      <c r="E20" s="178"/>
    </row>
    <row r="21" spans="1:5" ht="12.75">
      <c r="A21" s="181" t="s">
        <v>33</v>
      </c>
      <c r="B21" s="182" t="s">
        <v>294</v>
      </c>
      <c r="C21" s="181" t="s">
        <v>148</v>
      </c>
      <c r="D21" s="183">
        <f>D16+D20</f>
        <v>0</v>
      </c>
      <c r="E21" s="183">
        <f>E16+E20</f>
        <v>0</v>
      </c>
    </row>
    <row r="22" spans="1:5" ht="75" customHeight="1">
      <c r="A22" s="176">
        <v>3</v>
      </c>
      <c r="B22" s="184" t="s">
        <v>299</v>
      </c>
      <c r="C22" s="175"/>
      <c r="D22" s="178"/>
      <c r="E22" s="178"/>
    </row>
    <row r="23" spans="1:5" ht="31.5" customHeight="1">
      <c r="A23" s="176" t="s">
        <v>43</v>
      </c>
      <c r="B23" s="186" t="s">
        <v>300</v>
      </c>
      <c r="C23" s="176"/>
      <c r="D23" s="178"/>
      <c r="E23" s="178"/>
    </row>
    <row r="24" spans="1:5" ht="12.75">
      <c r="A24" s="175" t="s">
        <v>45</v>
      </c>
      <c r="B24" s="180" t="s">
        <v>290</v>
      </c>
      <c r="C24" s="175"/>
      <c r="D24" s="178"/>
      <c r="E24" s="178"/>
    </row>
    <row r="25" spans="1:5" ht="12.75">
      <c r="A25" s="175" t="s">
        <v>47</v>
      </c>
      <c r="B25" s="180" t="s">
        <v>292</v>
      </c>
      <c r="C25" s="175"/>
      <c r="D25" s="178"/>
      <c r="E25" s="178"/>
    </row>
    <row r="26" spans="1:5" ht="12.75">
      <c r="A26" s="181" t="s">
        <v>222</v>
      </c>
      <c r="B26" s="182" t="s">
        <v>294</v>
      </c>
      <c r="C26" s="181" t="s">
        <v>148</v>
      </c>
      <c r="D26" s="181"/>
      <c r="E26" s="181"/>
    </row>
    <row r="27" spans="1:5" ht="29.25" customHeight="1">
      <c r="A27" s="176"/>
      <c r="B27" s="184" t="s">
        <v>301</v>
      </c>
      <c r="C27" s="175" t="s">
        <v>148</v>
      </c>
      <c r="D27" s="156">
        <f>D11+D21+D26</f>
        <v>1.82</v>
      </c>
      <c r="E27" s="156">
        <f>E11+E21+E26</f>
        <v>1.82</v>
      </c>
    </row>
    <row r="28" ht="66" customHeight="1"/>
    <row r="29" spans="1:7" s="34" customFormat="1" ht="12.75">
      <c r="A29" s="33"/>
      <c r="B29" s="33" t="e">
        <f>'Смета расх.'!#REF!</f>
        <v>#REF!</v>
      </c>
      <c r="D29" s="35" t="e">
        <f>'Смета расх.'!#REF!</f>
        <v>#REF!</v>
      </c>
      <c r="F29" s="35"/>
      <c r="G29" s="36"/>
    </row>
  </sheetData>
  <sheetProtection selectLockedCells="1" selectUnlockedCells="1"/>
  <mergeCells count="6">
    <mergeCell ref="A2:C2"/>
    <mergeCell ref="A4:A5"/>
    <mergeCell ref="B4:B5"/>
    <mergeCell ref="C4:C5"/>
    <mergeCell ref="D4:D5"/>
    <mergeCell ref="E4:E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90" zoomScaleSheetLayoutView="90" workbookViewId="0" topLeftCell="A1">
      <selection activeCell="F10" sqref="F10"/>
    </sheetView>
  </sheetViews>
  <sheetFormatPr defaultColWidth="9.00390625" defaultRowHeight="12.75"/>
  <cols>
    <col min="1" max="1" width="7.125" style="0" customWidth="1"/>
    <col min="2" max="2" width="36.125" style="0" customWidth="1"/>
    <col min="4" max="4" width="28.50390625" style="0" customWidth="1"/>
    <col min="8" max="8" width="11.375" style="0" customWidth="1"/>
  </cols>
  <sheetData>
    <row r="1" spans="2:8" ht="12.75">
      <c r="B1" s="171"/>
      <c r="C1" s="172" t="s">
        <v>302</v>
      </c>
      <c r="D1" s="171"/>
      <c r="F1" s="171"/>
      <c r="G1" s="171"/>
      <c r="H1" s="171"/>
    </row>
    <row r="2" spans="1:8" ht="12.75">
      <c r="A2" s="43" t="s">
        <v>78</v>
      </c>
      <c r="B2" s="43"/>
      <c r="C2" s="43"/>
      <c r="D2" s="173">
        <f>'Сырье и мат-лы (расшифр.)'!D2</f>
        <v>0</v>
      </c>
      <c r="E2" s="173"/>
      <c r="F2" s="171"/>
      <c r="G2" s="171"/>
      <c r="H2" s="171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4" ht="30.75" customHeight="1">
      <c r="A4" s="128" t="s">
        <v>288</v>
      </c>
      <c r="B4" s="175" t="s">
        <v>140</v>
      </c>
      <c r="C4" s="187" t="s">
        <v>303</v>
      </c>
      <c r="D4" s="128" t="s">
        <v>142</v>
      </c>
    </row>
    <row r="5" spans="1:4" ht="12.75">
      <c r="A5" s="128"/>
      <c r="B5" s="128"/>
      <c r="C5" s="187"/>
      <c r="D5" s="128"/>
    </row>
    <row r="6" spans="1:4" ht="12.75">
      <c r="A6" s="175">
        <v>1</v>
      </c>
      <c r="B6" s="175">
        <v>2</v>
      </c>
      <c r="C6" s="188">
        <v>3</v>
      </c>
      <c r="D6" s="175">
        <v>4</v>
      </c>
    </row>
    <row r="7" spans="1:4" ht="12.75">
      <c r="A7" s="175"/>
      <c r="B7" s="189" t="s">
        <v>304</v>
      </c>
      <c r="C7" s="190"/>
      <c r="D7" s="191"/>
    </row>
    <row r="8" spans="1:4" ht="12.75">
      <c r="A8" s="175"/>
      <c r="B8" s="192" t="s">
        <v>305</v>
      </c>
      <c r="C8" s="193" t="s">
        <v>306</v>
      </c>
      <c r="D8" s="194">
        <f>'Баланс ВС'!J10</f>
        <v>40.64</v>
      </c>
    </row>
    <row r="9" spans="1:4" ht="12.75">
      <c r="A9" s="175"/>
      <c r="B9" s="192" t="s">
        <v>307</v>
      </c>
      <c r="C9" s="193" t="s">
        <v>308</v>
      </c>
      <c r="D9" s="194">
        <v>0.7</v>
      </c>
    </row>
    <row r="10" spans="1:4" ht="12.75">
      <c r="A10" s="175"/>
      <c r="B10" s="195" t="s">
        <v>309</v>
      </c>
      <c r="C10" s="193" t="s">
        <v>76</v>
      </c>
      <c r="D10" s="193">
        <v>25</v>
      </c>
    </row>
    <row r="11" spans="1:4" ht="12.75">
      <c r="A11" s="175"/>
      <c r="B11" s="192" t="s">
        <v>310</v>
      </c>
      <c r="C11" s="193" t="s">
        <v>291</v>
      </c>
      <c r="D11" s="86">
        <f>D8*D9*100/D10</f>
        <v>113.79199999999999</v>
      </c>
    </row>
    <row r="12" spans="1:4" ht="12.75">
      <c r="A12" s="175"/>
      <c r="B12" s="196"/>
      <c r="C12" s="188"/>
      <c r="D12" s="197"/>
    </row>
    <row r="13" ht="78" customHeight="1"/>
    <row r="14" spans="1:7" s="34" customFormat="1" ht="12.75">
      <c r="A14" s="33"/>
      <c r="B14" s="33" t="e">
        <f>'Смета расх.'!#REF!</f>
        <v>#REF!</v>
      </c>
      <c r="D14" s="35" t="e">
        <f>'Сырье и мат-лы (расшифр.)'!D29</f>
        <v>#REF!</v>
      </c>
      <c r="F14" s="35"/>
      <c r="G14" s="36"/>
    </row>
  </sheetData>
  <sheetProtection selectLockedCells="1" selectUnlockedCells="1"/>
  <mergeCells count="5">
    <mergeCell ref="A2:C2"/>
    <mergeCell ref="A4:A5"/>
    <mergeCell ref="B4:B5"/>
    <mergeCell ref="C4:C5"/>
    <mergeCell ref="D4:D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90" zoomScaleSheetLayoutView="90" workbookViewId="0" topLeftCell="A1">
      <selection activeCell="G14" sqref="G14"/>
    </sheetView>
  </sheetViews>
  <sheetFormatPr defaultColWidth="9.00390625" defaultRowHeight="12.75"/>
  <cols>
    <col min="1" max="1" width="7.125" style="0" customWidth="1"/>
    <col min="2" max="2" width="36.125" style="0" customWidth="1"/>
    <col min="3" max="3" width="11.00390625" style="0" customWidth="1"/>
    <col min="4" max="4" width="24.375" style="0" customWidth="1"/>
    <col min="5" max="5" width="11.50390625" style="0" customWidth="1"/>
    <col min="8" max="8" width="11.375" style="0" customWidth="1"/>
  </cols>
  <sheetData>
    <row r="1" spans="2:8" ht="12.75">
      <c r="B1" s="171"/>
      <c r="C1" s="172" t="s">
        <v>150</v>
      </c>
      <c r="D1" s="171"/>
      <c r="F1" s="171"/>
      <c r="G1" s="171"/>
      <c r="H1" s="171"/>
    </row>
    <row r="2" spans="1:8" ht="12.75">
      <c r="A2" s="43" t="s">
        <v>78</v>
      </c>
      <c r="B2" s="43"/>
      <c r="C2" s="43"/>
      <c r="D2" s="173">
        <f>'Сырье и мат-лы (расшифр.)'!D2</f>
        <v>0</v>
      </c>
      <c r="E2" s="173"/>
      <c r="F2" s="171"/>
      <c r="G2" s="171"/>
      <c r="H2" s="171"/>
    </row>
    <row r="3" spans="1:8" ht="12.75">
      <c r="A3" s="174"/>
      <c r="B3" s="174"/>
      <c r="C3" s="174"/>
      <c r="D3" s="174"/>
      <c r="E3" s="174"/>
      <c r="F3" s="174"/>
      <c r="G3" s="174"/>
      <c r="H3" s="174"/>
    </row>
    <row r="4" spans="1:5" ht="30.75" customHeight="1">
      <c r="A4" s="128" t="s">
        <v>288</v>
      </c>
      <c r="B4" s="175" t="s">
        <v>140</v>
      </c>
      <c r="C4" s="187" t="s">
        <v>303</v>
      </c>
      <c r="D4" s="128" t="s">
        <v>311</v>
      </c>
      <c r="E4" s="5" t="s">
        <v>4</v>
      </c>
    </row>
    <row r="5" spans="1:5" ht="12.75">
      <c r="A5" s="128"/>
      <c r="B5" s="128"/>
      <c r="C5" s="187"/>
      <c r="D5" s="128"/>
      <c r="E5" s="5"/>
    </row>
    <row r="6" spans="1:5" ht="12.75">
      <c r="A6" s="175">
        <v>1</v>
      </c>
      <c r="B6" s="175">
        <v>2</v>
      </c>
      <c r="C6" s="188">
        <v>3</v>
      </c>
      <c r="D6" s="175">
        <v>4</v>
      </c>
      <c r="E6" s="175">
        <v>5</v>
      </c>
    </row>
    <row r="7" spans="1:5" s="134" customFormat="1" ht="12.75">
      <c r="A7" s="176"/>
      <c r="B7" s="177" t="s">
        <v>312</v>
      </c>
      <c r="C7" s="198"/>
      <c r="D7" s="199"/>
      <c r="E7" s="200"/>
    </row>
    <row r="8" spans="1:5" ht="12.75">
      <c r="A8" s="175"/>
      <c r="B8" s="179" t="s">
        <v>313</v>
      </c>
      <c r="C8" s="198" t="s">
        <v>148</v>
      </c>
      <c r="D8" s="163">
        <f>D9+D12+D15</f>
        <v>160.18</v>
      </c>
      <c r="E8" s="163">
        <f>E9+E12+E15</f>
        <v>162.18</v>
      </c>
    </row>
    <row r="9" spans="1:5" ht="12.75">
      <c r="A9" s="175"/>
      <c r="B9" s="201" t="s">
        <v>314</v>
      </c>
      <c r="C9" s="188" t="s">
        <v>148</v>
      </c>
      <c r="D9" s="156">
        <f>D10+D11</f>
        <v>117.18</v>
      </c>
      <c r="E9" s="156">
        <f>E10+E11</f>
        <v>117.18</v>
      </c>
    </row>
    <row r="10" spans="1:5" ht="12.75">
      <c r="A10" s="175"/>
      <c r="B10" s="202" t="s">
        <v>315</v>
      </c>
      <c r="C10" s="188" t="s">
        <v>148</v>
      </c>
      <c r="D10" s="156">
        <f>'ФОТ ВС'!D61</f>
        <v>90</v>
      </c>
      <c r="E10" s="156">
        <f>'ФОТ ВС'!E61</f>
        <v>90</v>
      </c>
    </row>
    <row r="11" spans="1:5" ht="12.75">
      <c r="A11" s="175"/>
      <c r="B11" s="202" t="s">
        <v>316</v>
      </c>
      <c r="C11" s="188" t="s">
        <v>148</v>
      </c>
      <c r="D11" s="156">
        <f>'ФОТ ВС'!D62</f>
        <v>27.18</v>
      </c>
      <c r="E11" s="156">
        <f>'ФОТ ВС'!E62</f>
        <v>27.18</v>
      </c>
    </row>
    <row r="12" spans="1:5" ht="12.75">
      <c r="A12" s="175"/>
      <c r="B12" s="203" t="s">
        <v>317</v>
      </c>
      <c r="C12" s="188" t="s">
        <v>148</v>
      </c>
      <c r="D12" s="156">
        <f>D13+D14</f>
        <v>43</v>
      </c>
      <c r="E12" s="156">
        <v>45</v>
      </c>
    </row>
    <row r="13" spans="1:5" ht="12.75">
      <c r="A13" s="175"/>
      <c r="B13" s="196" t="s">
        <v>318</v>
      </c>
      <c r="C13" s="188" t="s">
        <v>148</v>
      </c>
      <c r="D13" s="160">
        <v>43</v>
      </c>
      <c r="E13" s="160">
        <v>45</v>
      </c>
    </row>
    <row r="14" spans="1:5" ht="12.75">
      <c r="A14" s="175"/>
      <c r="B14" s="196" t="s">
        <v>319</v>
      </c>
      <c r="C14" s="188" t="s">
        <v>148</v>
      </c>
      <c r="D14" s="156"/>
      <c r="E14" s="156"/>
    </row>
    <row r="15" spans="1:5" ht="12.75">
      <c r="A15" s="175"/>
      <c r="B15" s="203" t="s">
        <v>320</v>
      </c>
      <c r="C15" s="188" t="s">
        <v>148</v>
      </c>
      <c r="D15" s="156">
        <f>D16+D17</f>
        <v>0</v>
      </c>
      <c r="E15" s="156">
        <f>E16+E17</f>
        <v>0</v>
      </c>
    </row>
    <row r="16" spans="1:5" ht="12.75">
      <c r="A16" s="175"/>
      <c r="B16" s="196" t="s">
        <v>318</v>
      </c>
      <c r="C16" s="188" t="s">
        <v>148</v>
      </c>
      <c r="D16" s="197"/>
      <c r="E16" s="197"/>
    </row>
    <row r="17" spans="1:5" ht="12.75">
      <c r="A17" s="175"/>
      <c r="B17" s="196" t="s">
        <v>319</v>
      </c>
      <c r="C17" s="188" t="s">
        <v>148</v>
      </c>
      <c r="D17" s="197"/>
      <c r="E17" s="204"/>
    </row>
    <row r="18" spans="1:5" ht="12.75">
      <c r="A18" s="175"/>
      <c r="B18" s="196"/>
      <c r="C18" s="188"/>
      <c r="D18" s="197"/>
      <c r="E18" s="204"/>
    </row>
    <row r="21" ht="48.75" customHeight="1"/>
    <row r="22" spans="1:7" s="34" customFormat="1" ht="12.75">
      <c r="A22" s="33"/>
      <c r="B22" s="33" t="e">
        <f>Реагенты!B14</f>
        <v>#REF!</v>
      </c>
      <c r="D22" s="35" t="e">
        <f>Реагенты!D14</f>
        <v>#REF!</v>
      </c>
      <c r="F22" s="35"/>
      <c r="G22" s="36"/>
    </row>
  </sheetData>
  <sheetProtection selectLockedCells="1" selectUnlockedCells="1"/>
  <mergeCells count="6">
    <mergeCell ref="A2:C2"/>
    <mergeCell ref="A4:A5"/>
    <mergeCell ref="B4:B5"/>
    <mergeCell ref="C4:C5"/>
    <mergeCell ref="D4:D5"/>
    <mergeCell ref="E4:E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SheetLayoutView="100" workbookViewId="0" topLeftCell="A1">
      <selection activeCell="I18" sqref="I18"/>
    </sheetView>
  </sheetViews>
  <sheetFormatPr defaultColWidth="9.00390625" defaultRowHeight="12.75"/>
  <cols>
    <col min="2" max="2" width="36.125" style="0" customWidth="1"/>
    <col min="3" max="3" width="8.625" style="0" customWidth="1"/>
    <col min="4" max="4" width="9.375" style="0" customWidth="1"/>
    <col min="5" max="5" width="11.125" style="0" customWidth="1"/>
    <col min="6" max="6" width="13.50390625" style="0" customWidth="1"/>
    <col min="7" max="7" width="13.125" style="0" customWidth="1"/>
    <col min="8" max="8" width="13.375" style="0" customWidth="1"/>
  </cols>
  <sheetData>
    <row r="1" spans="2:6" ht="12.75">
      <c r="B1" s="205" t="s">
        <v>321</v>
      </c>
      <c r="C1" s="205"/>
      <c r="D1" s="205"/>
      <c r="E1" s="205"/>
      <c r="F1" s="205"/>
    </row>
    <row r="2" spans="2:6" ht="12.75">
      <c r="B2" s="43" t="s">
        <v>78</v>
      </c>
      <c r="C2" s="43"/>
      <c r="D2" s="43"/>
      <c r="E2" s="206">
        <f>Ремонт!D2</f>
        <v>0</v>
      </c>
      <c r="F2" s="206"/>
    </row>
    <row r="3" spans="2:8" ht="12.75">
      <c r="B3" s="207" t="s">
        <v>322</v>
      </c>
      <c r="C3" s="207"/>
      <c r="D3" s="207"/>
      <c r="E3" s="208"/>
      <c r="F3" s="208"/>
      <c r="G3" s="208"/>
      <c r="H3" s="208"/>
    </row>
    <row r="4" spans="2:6" ht="12.75">
      <c r="B4" s="209"/>
      <c r="C4" s="209"/>
      <c r="D4" s="209"/>
      <c r="E4" s="206"/>
      <c r="F4" s="206"/>
    </row>
    <row r="5" spans="1:7" ht="14.25" customHeight="1">
      <c r="A5" s="210"/>
      <c r="B5" s="210"/>
      <c r="C5" s="210"/>
      <c r="D5" s="210"/>
      <c r="E5" s="210"/>
      <c r="F5" s="210"/>
      <c r="G5" s="210"/>
    </row>
    <row r="6" spans="1:7" ht="30.75" customHeight="1">
      <c r="A6" s="193" t="s">
        <v>2</v>
      </c>
      <c r="B6" s="193" t="s">
        <v>140</v>
      </c>
      <c r="C6" s="193" t="s">
        <v>323</v>
      </c>
      <c r="D6" s="193" t="s">
        <v>324</v>
      </c>
      <c r="E6" s="190" t="s">
        <v>325</v>
      </c>
      <c r="F6" s="190" t="s">
        <v>326</v>
      </c>
      <c r="G6" s="210"/>
    </row>
    <row r="7" spans="1:7" ht="18" customHeight="1">
      <c r="A7" s="82" t="s">
        <v>327</v>
      </c>
      <c r="B7" s="82"/>
      <c r="C7" s="82"/>
      <c r="D7" s="82"/>
      <c r="E7" s="82"/>
      <c r="F7" s="82"/>
      <c r="G7" s="210"/>
    </row>
    <row r="8" spans="1:7" ht="21" customHeight="1">
      <c r="A8" s="211">
        <v>1</v>
      </c>
      <c r="B8" s="212" t="s">
        <v>328</v>
      </c>
      <c r="C8" s="213"/>
      <c r="D8" s="213"/>
      <c r="E8" s="213"/>
      <c r="F8" s="213"/>
      <c r="G8" s="210"/>
    </row>
    <row r="9" spans="1:7" ht="15.75" customHeight="1">
      <c r="A9" s="211" t="s">
        <v>11</v>
      </c>
      <c r="B9" s="214" t="s">
        <v>329</v>
      </c>
      <c r="C9" s="215" t="s">
        <v>330</v>
      </c>
      <c r="D9" s="215">
        <v>2</v>
      </c>
      <c r="E9" s="215">
        <v>130</v>
      </c>
      <c r="F9" s="216">
        <f>D9*E9/1000</f>
        <v>0.26</v>
      </c>
      <c r="G9" s="210"/>
    </row>
    <row r="10" spans="1:7" ht="15.75" customHeight="1">
      <c r="A10" s="211" t="s">
        <v>20</v>
      </c>
      <c r="B10" s="214" t="s">
        <v>331</v>
      </c>
      <c r="C10" s="215" t="s">
        <v>330</v>
      </c>
      <c r="D10" s="215">
        <v>1</v>
      </c>
      <c r="E10" s="215">
        <v>3900</v>
      </c>
      <c r="F10" s="216">
        <f aca="true" t="shared" si="0" ref="F10:F17">D10*E10/1000</f>
        <v>3.9</v>
      </c>
      <c r="G10" s="210"/>
    </row>
    <row r="11" spans="1:7" ht="15.75" customHeight="1">
      <c r="A11" s="211" t="s">
        <v>22</v>
      </c>
      <c r="B11" s="214" t="s">
        <v>332</v>
      </c>
      <c r="C11" s="215" t="s">
        <v>128</v>
      </c>
      <c r="D11" s="215">
        <v>3</v>
      </c>
      <c r="E11" s="215">
        <v>1165</v>
      </c>
      <c r="F11" s="216">
        <f t="shared" si="0"/>
        <v>3.495</v>
      </c>
      <c r="G11" s="210"/>
    </row>
    <row r="12" spans="1:7" ht="15.75" customHeight="1">
      <c r="A12" s="211"/>
      <c r="B12" s="214" t="s">
        <v>333</v>
      </c>
      <c r="C12" s="215" t="s">
        <v>334</v>
      </c>
      <c r="D12" s="215">
        <v>80</v>
      </c>
      <c r="E12" s="215">
        <v>315</v>
      </c>
      <c r="F12" s="216">
        <f>D12*E12/1000</f>
        <v>25.2</v>
      </c>
      <c r="G12" s="210"/>
    </row>
    <row r="13" spans="1:7" ht="15.75" customHeight="1">
      <c r="A13" s="211"/>
      <c r="B13" s="214" t="s">
        <v>335</v>
      </c>
      <c r="C13" s="215" t="s">
        <v>330</v>
      </c>
      <c r="D13" s="215">
        <v>11</v>
      </c>
      <c r="E13" s="215">
        <v>460</v>
      </c>
      <c r="F13" s="216">
        <f t="shared" si="0"/>
        <v>5.06</v>
      </c>
      <c r="G13" s="210"/>
    </row>
    <row r="14" spans="1:7" ht="15.75" customHeight="1">
      <c r="A14" s="211"/>
      <c r="B14" s="214" t="s">
        <v>336</v>
      </c>
      <c r="C14" s="215" t="s">
        <v>330</v>
      </c>
      <c r="D14" s="217">
        <v>13</v>
      </c>
      <c r="E14" s="217">
        <v>80</v>
      </c>
      <c r="F14" s="216">
        <f t="shared" si="0"/>
        <v>1.04</v>
      </c>
      <c r="G14" s="210"/>
    </row>
    <row r="15" spans="1:7" ht="15.75" customHeight="1">
      <c r="A15" s="211"/>
      <c r="B15" s="214" t="s">
        <v>337</v>
      </c>
      <c r="C15" s="215" t="s">
        <v>330</v>
      </c>
      <c r="D15" s="217">
        <v>13</v>
      </c>
      <c r="E15" s="217">
        <v>60</v>
      </c>
      <c r="F15" s="216">
        <f t="shared" si="0"/>
        <v>0.78</v>
      </c>
      <c r="G15" s="210"/>
    </row>
    <row r="16" spans="1:7" ht="15.75" customHeight="1">
      <c r="A16" s="211"/>
      <c r="B16" s="214" t="s">
        <v>338</v>
      </c>
      <c r="C16" s="215" t="s">
        <v>330</v>
      </c>
      <c r="D16" s="217">
        <v>8</v>
      </c>
      <c r="E16" s="217">
        <v>200</v>
      </c>
      <c r="F16" s="216">
        <f t="shared" si="0"/>
        <v>1.6</v>
      </c>
      <c r="G16" s="210"/>
    </row>
    <row r="17" spans="1:7" ht="14.25" customHeight="1">
      <c r="A17" s="211"/>
      <c r="B17" s="214" t="s">
        <v>339</v>
      </c>
      <c r="C17" s="215" t="s">
        <v>330</v>
      </c>
      <c r="D17" s="217">
        <v>11</v>
      </c>
      <c r="E17" s="217">
        <v>150</v>
      </c>
      <c r="F17" s="216">
        <f t="shared" si="0"/>
        <v>1.65</v>
      </c>
      <c r="G17" s="210"/>
    </row>
    <row r="18" spans="1:7" ht="15.75" customHeight="1">
      <c r="A18" s="211" t="s">
        <v>340</v>
      </c>
      <c r="B18" s="218" t="s">
        <v>341</v>
      </c>
      <c r="C18" s="213"/>
      <c r="D18" s="213"/>
      <c r="E18" s="213"/>
      <c r="F18" s="213"/>
      <c r="G18" s="210"/>
    </row>
    <row r="19" spans="1:7" ht="16.5" customHeight="1">
      <c r="A19" s="219" t="s">
        <v>342</v>
      </c>
      <c r="B19" s="219"/>
      <c r="C19" s="220"/>
      <c r="D19" s="220"/>
      <c r="E19" s="220"/>
      <c r="F19" s="221">
        <f>SUM(F9:F18)</f>
        <v>42.985</v>
      </c>
      <c r="G19" s="222">
        <f>Ремонт!D13</f>
        <v>43</v>
      </c>
    </row>
    <row r="21" spans="2:10" s="34" customFormat="1" ht="30" customHeight="1">
      <c r="B21" s="35" t="e">
        <f>Ремонт!B22</f>
        <v>#REF!</v>
      </c>
      <c r="E21" s="35" t="e">
        <f>Ремонт!D22</f>
        <v>#REF!</v>
      </c>
      <c r="G21" s="35"/>
      <c r="H21" s="36"/>
      <c r="J21" s="35"/>
    </row>
  </sheetData>
  <sheetProtection selectLockedCells="1" selectUnlockedCells="1"/>
  <mergeCells count="5">
    <mergeCell ref="B1:F1"/>
    <mergeCell ref="B2:D2"/>
    <mergeCell ref="B3:D3"/>
    <mergeCell ref="A7:F7"/>
    <mergeCell ref="A19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502D</cp:lastModifiedBy>
  <cp:lastPrinted>2017-12-26T09:39:16Z</cp:lastPrinted>
  <dcterms:created xsi:type="dcterms:W3CDTF">2013-04-08T06:55:43Z</dcterms:created>
  <dcterms:modified xsi:type="dcterms:W3CDTF">2017-12-26T09:39:46Z</dcterms:modified>
  <cp:category/>
  <cp:version/>
  <cp:contentType/>
  <cp:contentStatus/>
</cp:coreProperties>
</file>